
<file path=[Content_Types].xml><?xml version="1.0" encoding="utf-8"?>
<Types xmlns="http://schemas.openxmlformats.org/package/2006/content-types">
  <Default Extension="jpeg" ContentType="image/jpeg"/>
  <Default Extension="jp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tables/table1.xml" ContentType="application/vnd.openxmlformats-officedocument.spreadsheetml.table+xml"/>
  <Override PartName="/xl/drawings/drawing6.xml" ContentType="application/vnd.openxmlformats-officedocument.drawing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7.xml" ContentType="application/vnd.openxmlformats-officedocument.drawing+xml"/>
  <Override PartName="/xl/tables/table5.xml" ContentType="application/vnd.openxmlformats-officedocument.spreadsheetml.table+xml"/>
  <Override PartName="/xl/drawings/drawing8.xml" ContentType="application/vnd.openxmlformats-officedocument.drawing+xml"/>
  <Override PartName="/xl/tables/table6.xml" ContentType="application/vnd.openxmlformats-officedocument.spreadsheetml.table+xml"/>
  <Override PartName="/xl/drawings/drawing9.xml" ContentType="application/vnd.openxmlformats-officedocument.drawing+xml"/>
  <Override PartName="/xl/tables/table7.xml" ContentType="application/vnd.openxmlformats-officedocument.spreadsheetml.table+xml"/>
  <Override PartName="/xl/drawings/drawing10.xml" ContentType="application/vnd.openxmlformats-officedocument.drawing+xml"/>
  <Override PartName="/xl/tables/table8.xml" ContentType="application/vnd.openxmlformats-officedocument.spreadsheetml.table+xml"/>
  <Override PartName="/xl/drawings/drawing11.xml" ContentType="application/vnd.openxmlformats-officedocument.drawing+xml"/>
  <Override PartName="/xl/tables/table9.xml" ContentType="application/vnd.openxmlformats-officedocument.spreadsheetml.table+xml"/>
  <Override PartName="/xl/drawings/drawing12.xml" ContentType="application/vnd.openxmlformats-officedocument.drawing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drawings/drawing13.xml" ContentType="application/vnd.openxmlformats-officedocument.drawing+xml"/>
  <Override PartName="/xl/tables/table12.xml" ContentType="application/vnd.openxmlformats-officedocument.spreadsheetml.table+xml"/>
  <Override PartName="/xl/drawings/drawing14.xml" ContentType="application/vnd.openxmlformats-officedocument.drawing+xml"/>
  <Override PartName="/xl/tables/table13.xml" ContentType="application/vnd.openxmlformats-officedocument.spreadsheetml.table+xml"/>
  <Override PartName="/xl/drawings/drawing15.xml" ContentType="application/vnd.openxmlformats-officedocument.drawing+xml"/>
  <Override PartName="/xl/tables/table14.xml" ContentType="application/vnd.openxmlformats-officedocument.spreadsheetml.table+xml"/>
  <Override PartName="/xl/drawings/drawing16.xml" ContentType="application/vnd.openxmlformats-officedocument.drawing+xml"/>
  <Override PartName="/xl/tables/table15.xml" ContentType="application/vnd.openxmlformats-officedocument.spreadsheetml.table+xml"/>
  <Override PartName="/xl/drawings/drawing17.xml" ContentType="application/vnd.openxmlformats-officedocument.drawing+xml"/>
  <Override PartName="/xl/tables/table16.xml" ContentType="application/vnd.openxmlformats-officedocument.spreadsheetml.table+xml"/>
  <Override PartName="/xl/drawings/drawing18.xml" ContentType="application/vnd.openxmlformats-officedocument.drawing+xml"/>
  <Override PartName="/xl/tables/table17.xml" ContentType="application/vnd.openxmlformats-officedocument.spreadsheetml.table+xml"/>
  <Override PartName="/xl/drawings/drawing19.xml" ContentType="application/vnd.openxmlformats-officedocument.drawing+xml"/>
  <Override PartName="/xl/tables/table18.xml" ContentType="application/vnd.openxmlformats-officedocument.spreadsheetml.table+xml"/>
  <Override PartName="/xl/tables/table19.xml" ContentType="application/vnd.openxmlformats-officedocument.spreadsheetml.table+xml"/>
  <Override PartName="/xl/tables/table20.xml" ContentType="application/vnd.openxmlformats-officedocument.spreadsheetml.table+xml"/>
  <Override PartName="/xl/drawings/drawing20.xml" ContentType="application/vnd.openxmlformats-officedocument.drawing+xml"/>
  <Override PartName="/xl/tables/table21.xml" ContentType="application/vnd.openxmlformats-officedocument.spreadsheetml.table+xml"/>
  <Override PartName="/xl/tables/table22.xml" ContentType="application/vnd.openxmlformats-officedocument.spreadsheetml.table+xml"/>
  <Override PartName="/xl/tables/table23.xml" ContentType="application/vnd.openxmlformats-officedocument.spreadsheetml.table+xml"/>
  <Override PartName="/xl/tables/table24.xml" ContentType="application/vnd.openxmlformats-officedocument.spreadsheetml.table+xml"/>
  <Override PartName="/xl/drawings/drawing21.xml" ContentType="application/vnd.openxmlformats-officedocument.drawing+xml"/>
  <Override PartName="/xl/tables/table25.xml" ContentType="application/vnd.openxmlformats-officedocument.spreadsheetml.table+xml"/>
  <Override PartName="/xl/tables/table26.xml" ContentType="application/vnd.openxmlformats-officedocument.spreadsheetml.table+xml"/>
  <Override PartName="/xl/tables/table27.xml" ContentType="application/vnd.openxmlformats-officedocument.spreadsheetml.table+xml"/>
  <Override PartName="/xl/drawings/drawing22.xml" ContentType="application/vnd.openxmlformats-officedocument.drawing+xml"/>
  <Override PartName="/xl/tables/table28.xml" ContentType="application/vnd.openxmlformats-officedocument.spreadsheetml.table+xml"/>
  <Override PartName="/xl/tables/table29.xml" ContentType="application/vnd.openxmlformats-officedocument.spreadsheetml.table+xml"/>
  <Override PartName="/xl/tables/table30.xml" ContentType="application/vnd.openxmlformats-officedocument.spreadsheetml.table+xml"/>
  <Override PartName="/xl/tables/table31.xml" ContentType="application/vnd.openxmlformats-officedocument.spreadsheetml.table+xml"/>
  <Override PartName="/xl/tables/table32.xml" ContentType="application/vnd.openxmlformats-officedocument.spreadsheetml.table+xml"/>
  <Override PartName="/xl/tables/table33.xml" ContentType="application/vnd.openxmlformats-officedocument.spreadsheetml.table+xml"/>
  <Override PartName="/xl/tables/table34.xml" ContentType="application/vnd.openxmlformats-officedocument.spreadsheetml.table+xml"/>
  <Override PartName="/xl/tables/table35.xml" ContentType="application/vnd.openxmlformats-officedocument.spreadsheetml.table+xml"/>
  <Override PartName="/xl/tables/table36.xml" ContentType="application/vnd.openxmlformats-officedocument.spreadsheetml.table+xml"/>
  <Override PartName="/xl/tables/table37.xml" ContentType="application/vnd.openxmlformats-officedocument.spreadsheetml.table+xml"/>
  <Override PartName="/xl/tables/table38.xml" ContentType="application/vnd.openxmlformats-officedocument.spreadsheetml.table+xml"/>
  <Override PartName="/xl/tables/table39.xml" ContentType="application/vnd.openxmlformats-officedocument.spreadsheetml.table+xml"/>
  <Override PartName="/xl/drawings/drawing23.xml" ContentType="application/vnd.openxmlformats-officedocument.drawing+xml"/>
  <Override PartName="/xl/tables/table40.xml" ContentType="application/vnd.openxmlformats-officedocument.spreadsheetml.table+xml"/>
  <Override PartName="/xl/drawings/drawing24.xml" ContentType="application/vnd.openxmlformats-officedocument.drawing+xml"/>
  <Override PartName="/xl/tables/table41.xml" ContentType="application/vnd.openxmlformats-officedocument.spreadsheetml.table+xml"/>
  <Override PartName="/xl/tables/table42.xml" ContentType="application/vnd.openxmlformats-officedocument.spreadsheetml.table+xml"/>
  <Override PartName="/xl/tables/table43.xml" ContentType="application/vnd.openxmlformats-officedocument.spreadsheetml.table+xml"/>
  <Override PartName="/xl/tables/table44.xml" ContentType="application/vnd.openxmlformats-officedocument.spreadsheetml.table+xml"/>
  <Override PartName="/xl/tables/table45.xml" ContentType="application/vnd.openxmlformats-officedocument.spreadsheetml.table+xml"/>
  <Override PartName="/xl/tables/table46.xml" ContentType="application/vnd.openxmlformats-officedocument.spreadsheetml.table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tables/table47.xml" ContentType="application/vnd.openxmlformats-officedocument.spreadsheetml.table+xml"/>
  <Override PartName="/xl/tables/table48.xml" ContentType="application/vnd.openxmlformats-officedocument.spreadsheetml.table+xml"/>
  <Override PartName="/xl/tables/table49.xml" ContentType="application/vnd.openxmlformats-officedocument.spreadsheetml.table+xml"/>
  <Override PartName="/xl/tables/table50.xml" ContentType="application/vnd.openxmlformats-officedocument.spreadsheetml.table+xml"/>
  <Override PartName="/xl/tables/table51.xml" ContentType="application/vnd.openxmlformats-officedocument.spreadsheetml.table+xml"/>
  <Override PartName="/xl/tables/table52.xml" ContentType="application/vnd.openxmlformats-officedocument.spreadsheetml.table+xml"/>
  <Override PartName="/xl/tables/table53.xml" ContentType="application/vnd.openxmlformats-officedocument.spreadsheetml.table+xml"/>
  <Override PartName="/xl/tables/table54.xml" ContentType="application/vnd.openxmlformats-officedocument.spreadsheetml.table+xml"/>
  <Override PartName="/xl/tables/table55.xml" ContentType="application/vnd.openxmlformats-officedocument.spreadsheetml.table+xml"/>
  <Override PartName="/xl/drawings/drawing25.xml" ContentType="application/vnd.openxmlformats-officedocument.drawing+xml"/>
  <Override PartName="/xl/tables/table56.xml" ContentType="application/vnd.openxmlformats-officedocument.spreadsheetml.table+xml"/>
  <Override PartName="/xl/drawings/drawing26.xml" ContentType="application/vnd.openxmlformats-officedocument.drawing+xml"/>
  <Override PartName="/xl/tables/table57.xml" ContentType="application/vnd.openxmlformats-officedocument.spreadsheetml.table+xml"/>
  <Override PartName="/xl/drawings/drawing27.xml" ContentType="application/vnd.openxmlformats-officedocument.drawing+xml"/>
  <Override PartName="/xl/tables/table58.xml" ContentType="application/vnd.openxmlformats-officedocument.spreadsheetml.table+xml"/>
  <Override PartName="/xl/drawings/drawing28.xml" ContentType="application/vnd.openxmlformats-officedocument.drawing+xml"/>
  <Override PartName="/xl/tables/table59.xml" ContentType="application/vnd.openxmlformats-officedocument.spreadsheetml.table+xml"/>
  <Override PartName="/xl/drawings/drawing29.xml" ContentType="application/vnd.openxmlformats-officedocument.drawing+xml"/>
  <Override PartName="/xl/tables/table60.xml" ContentType="application/vnd.openxmlformats-officedocument.spreadsheetml.table+xml"/>
  <Override PartName="/xl/drawings/drawing30.xml" ContentType="application/vnd.openxmlformats-officedocument.drawing+xml"/>
  <Override PartName="/xl/tables/table61.xml" ContentType="application/vnd.openxmlformats-officedocument.spreadsheetml.table+xml"/>
  <Override PartName="/xl/drawings/drawing31.xml" ContentType="application/vnd.openxmlformats-officedocument.drawing+xml"/>
  <Override PartName="/xl/tables/table62.xml" ContentType="application/vnd.openxmlformats-officedocument.spreadsheetml.table+xml"/>
  <Override PartName="/xl/drawings/drawing32.xml" ContentType="application/vnd.openxmlformats-officedocument.drawing+xml"/>
  <Override PartName="/xl/tables/table63.xml" ContentType="application/vnd.openxmlformats-officedocument.spreadsheetml.table+xml"/>
  <Override PartName="/xl/drawings/drawing33.xml" ContentType="application/vnd.openxmlformats-officedocument.drawing+xml"/>
  <Override PartName="/xl/tables/table64.xml" ContentType="application/vnd.openxmlformats-officedocument.spreadsheetml.table+xml"/>
  <Override PartName="/xl/tables/table65.xml" ContentType="application/vnd.openxmlformats-officedocument.spreadsheetml.table+xml"/>
  <Override PartName="/xl/tables/table66.xml" ContentType="application/vnd.openxmlformats-officedocument.spreadsheetml.table+xml"/>
  <Override PartName="/xl/tables/table67.xml" ContentType="application/vnd.openxmlformats-officedocument.spreadsheetml.table+xml"/>
  <Override PartName="/xl/tables/table68.xml" ContentType="application/vnd.openxmlformats-officedocument.spreadsheetml.table+xml"/>
  <Override PartName="/xl/tables/table69.xml" ContentType="application/vnd.openxmlformats-officedocument.spreadsheetml.table+xml"/>
  <Override PartName="/xl/tables/table70.xml" ContentType="application/vnd.openxmlformats-officedocument.spreadsheetml.table+xml"/>
  <Override PartName="/xl/tables/table71.xml" ContentType="application/vnd.openxmlformats-officedocument.spreadsheetml.tab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Cowley\Desktop\Programovani\zaloha\kod\"/>
    </mc:Choice>
  </mc:AlternateContent>
  <xr:revisionPtr revIDLastSave="0" documentId="13_ncr:1_{431EF263-4637-49C4-8907-0B7C31D1CAC9}" xr6:coauthVersionLast="47" xr6:coauthVersionMax="47" xr10:uidLastSave="{00000000-0000-0000-0000-000000000000}"/>
  <bookViews>
    <workbookView xWindow="11985" yWindow="315" windowWidth="12210" windowHeight="12015" firstSheet="46" activeTab="46" xr2:uid="{00000000-000D-0000-FFFF-FFFF00000000}"/>
  </bookViews>
  <sheets>
    <sheet name="20LedenV" sheetId="2" state="hidden" r:id="rId1"/>
    <sheet name="20ÚnorV" sheetId="4" state="hidden" r:id="rId2"/>
    <sheet name="03hod20" sheetId="5" state="hidden" r:id="rId3"/>
    <sheet name="20BřezenV" sheetId="6" state="hidden" r:id="rId4"/>
    <sheet name="04hod20" sheetId="7" state="hidden" r:id="rId5"/>
    <sheet name="20DubenV" sheetId="8" state="hidden" r:id="rId6"/>
    <sheet name="05hod20" sheetId="9" state="hidden" r:id="rId7"/>
    <sheet name="20KvětenV" sheetId="10" state="hidden" r:id="rId8"/>
    <sheet name="06hod20" sheetId="11" state="hidden" r:id="rId9"/>
    <sheet name="20ČervenV" sheetId="12" state="hidden" r:id="rId10"/>
    <sheet name="07hod20" sheetId="13" state="hidden" r:id="rId11"/>
    <sheet name="20ČervenecV" sheetId="14" state="hidden" r:id="rId12"/>
    <sheet name="20SrpenV" sheetId="16" state="hidden" r:id="rId13"/>
    <sheet name="20SrpenVv" sheetId="17" state="hidden" r:id="rId14"/>
    <sheet name="CompletVýdaje 28.06-29.08.2020" sheetId="18" state="hidden" r:id="rId15"/>
    <sheet name="12hod20" sheetId="55" state="hidden" r:id="rId16"/>
    <sheet name="01hod21" sheetId="45" state="hidden" r:id="rId17"/>
    <sheet name="01cash22" sheetId="78" r:id="rId18"/>
    <sheet name="02cash22" sheetId="84" r:id="rId19"/>
    <sheet name="11hod21" sheetId="71" r:id="rId20"/>
    <sheet name="12hod21" sheetId="75" r:id="rId21"/>
    <sheet name="01hod22" sheetId="77" r:id="rId22"/>
    <sheet name="02hod22" sheetId="81" r:id="rId23"/>
    <sheet name="03hod22" sheetId="86" r:id="rId24"/>
    <sheet name="04hod22" sheetId="87" r:id="rId25"/>
    <sheet name="03cash22" sheetId="89" r:id="rId26"/>
    <sheet name="05hod22" sheetId="88" r:id="rId27"/>
    <sheet name="06hod22" sheetId="92" r:id="rId28"/>
    <sheet name="07hod22" sheetId="97" r:id="rId29"/>
    <sheet name="08hod22" sheetId="99" r:id="rId30"/>
    <sheet name="09hod22" sheetId="102" r:id="rId31"/>
    <sheet name="10hod22" sheetId="103" r:id="rId32"/>
    <sheet name="11hod22" sheetId="104" r:id="rId33"/>
    <sheet name="07cash" sheetId="101" r:id="rId34"/>
    <sheet name="08cash04.12-21.12.22" sheetId="107" r:id="rId35"/>
    <sheet name="12hod22" sheetId="108" r:id="rId36"/>
    <sheet name="06cash22" sheetId="100" r:id="rId37"/>
    <sheet name="05cash22" sheetId="94" r:id="rId38"/>
    <sheet name="04cash22" sheetId="93" r:id="rId39"/>
    <sheet name="01hod23" sheetId="109" r:id="rId40"/>
    <sheet name="01cash24" sheetId="133" r:id="rId41"/>
    <sheet name="02hod23" sheetId="111" r:id="rId42"/>
    <sheet name="03hod24" sheetId="115" r:id="rId43"/>
    <sheet name="04cash24" sheetId="137" r:id="rId44"/>
    <sheet name="03cash24" sheetId="136" r:id="rId45"/>
    <sheet name="02cash24" sheetId="135" r:id="rId46"/>
    <sheet name="MMhodRR" sheetId="140" r:id="rId47"/>
    <sheet name="MMcashRR" sheetId="141" r:id="rId48"/>
    <sheet name="04hod24" sheetId="139" r:id="rId49"/>
    <sheet name="10hod24" sheetId="143" r:id="rId50"/>
    <sheet name="11hod24" sheetId="142" r:id="rId51"/>
    <sheet name="04hod23" sheetId="113" r:id="rId52"/>
    <sheet name="05hod23" sheetId="120" r:id="rId53"/>
    <sheet name="06hod23" sheetId="121" r:id="rId54"/>
    <sheet name="07hod23" sheetId="122" r:id="rId55"/>
    <sheet name="08hod23" sheetId="123" r:id="rId56"/>
    <sheet name="09hod23" sheetId="124" r:id="rId57"/>
    <sheet name="10hod23" sheetId="129" r:id="rId58"/>
    <sheet name="11hod23" sheetId="130" r:id="rId59"/>
    <sheet name="12hod23" sheetId="131" r:id="rId60"/>
    <sheet name="06cash" sheetId="128" r:id="rId61"/>
    <sheet name="05cash" sheetId="125" r:id="rId62"/>
    <sheet name="04cash" sheetId="119" r:id="rId63"/>
    <sheet name="03cash" sheetId="118" r:id="rId64"/>
    <sheet name="02cash" sheetId="114" r:id="rId65"/>
    <sheet name="01cash" sheetId="110" r:id="rId66"/>
    <sheet name="00cash" sheetId="117" r:id="rId67"/>
    <sheet name="01cash21" sheetId="46" state="hidden" r:id="rId68"/>
    <sheet name="02hod21" sheetId="50" state="hidden" r:id="rId69"/>
    <sheet name="03hod21" sheetId="53" state="hidden" r:id="rId70"/>
    <sheet name="04hod21" sheetId="58" state="hidden" r:id="rId71"/>
    <sheet name="05hod21" sheetId="59" state="hidden" r:id="rId72"/>
    <sheet name="06hod21" sheetId="62" state="hidden" r:id="rId73"/>
    <sheet name="07hod21" sheetId="65" state="hidden" r:id="rId74"/>
    <sheet name="08hod21" sheetId="66" r:id="rId75"/>
    <sheet name="09hod21" sheetId="69" state="hidden" r:id="rId76"/>
    <sheet name="10hod21" sheetId="70" state="hidden" r:id="rId77"/>
    <sheet name="Leden22" sheetId="76" r:id="rId78"/>
    <sheet name="07cash21" sheetId="73" state="hidden" r:id="rId79"/>
    <sheet name="06cash21" sheetId="68" state="hidden" r:id="rId80"/>
    <sheet name="05cash21" sheetId="64" state="hidden" r:id="rId81"/>
    <sheet name="04cash21" sheetId="63" state="hidden" r:id="rId82"/>
    <sheet name="03cash21" sheetId="60" state="hidden" r:id="rId83"/>
    <sheet name="02cash21" sheetId="54" state="hidden" r:id="rId84"/>
    <sheet name="2019" sheetId="26" state="hidden" r:id="rId85"/>
    <sheet name="2021" sheetId="67" r:id="rId86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52" i="143" l="1"/>
  <c r="O51" i="143"/>
  <c r="V36" i="143"/>
  <c r="B36" i="143" s="1"/>
  <c r="C36" i="143"/>
  <c r="D36" i="143" s="1"/>
  <c r="V35" i="143"/>
  <c r="B35" i="143" s="1"/>
  <c r="D35" i="143"/>
  <c r="C35" i="143"/>
  <c r="V34" i="143"/>
  <c r="B34" i="143" s="1"/>
  <c r="D34" i="143"/>
  <c r="C34" i="143"/>
  <c r="V33" i="143"/>
  <c r="B33" i="143" s="1"/>
  <c r="D33" i="143"/>
  <c r="C33" i="143"/>
  <c r="V32" i="143"/>
  <c r="B32" i="143" s="1"/>
  <c r="D32" i="143"/>
  <c r="C32" i="143"/>
  <c r="V31" i="143"/>
  <c r="B31" i="143" s="1"/>
  <c r="C31" i="143"/>
  <c r="D31" i="143" s="1"/>
  <c r="V30" i="143"/>
  <c r="B30" i="143" s="1"/>
  <c r="C30" i="143"/>
  <c r="D30" i="143" s="1"/>
  <c r="V29" i="143"/>
  <c r="O29" i="143"/>
  <c r="P25" i="143" s="1"/>
  <c r="C29" i="143"/>
  <c r="D29" i="143" s="1"/>
  <c r="B29" i="143"/>
  <c r="V28" i="143"/>
  <c r="C28" i="143"/>
  <c r="D28" i="143" s="1"/>
  <c r="B28" i="143"/>
  <c r="V27" i="143"/>
  <c r="C27" i="143"/>
  <c r="D27" i="143" s="1"/>
  <c r="B27" i="143"/>
  <c r="V26" i="143"/>
  <c r="C26" i="143"/>
  <c r="D26" i="143" s="1"/>
  <c r="B26" i="143"/>
  <c r="V25" i="143"/>
  <c r="B25" i="143" s="1"/>
  <c r="D25" i="143"/>
  <c r="C25" i="143"/>
  <c r="V24" i="143"/>
  <c r="C24" i="143"/>
  <c r="D24" i="143" s="1"/>
  <c r="B24" i="143"/>
  <c r="V23" i="143"/>
  <c r="C23" i="143"/>
  <c r="D23" i="143" s="1"/>
  <c r="B23" i="143"/>
  <c r="V22" i="143"/>
  <c r="C22" i="143"/>
  <c r="D22" i="143" s="1"/>
  <c r="B22" i="143"/>
  <c r="V21" i="143"/>
  <c r="C21" i="143"/>
  <c r="D21" i="143" s="1"/>
  <c r="B21" i="143"/>
  <c r="V20" i="143"/>
  <c r="C20" i="143"/>
  <c r="D20" i="143" s="1"/>
  <c r="B20" i="143"/>
  <c r="V19" i="143"/>
  <c r="C19" i="143"/>
  <c r="D19" i="143" s="1"/>
  <c r="B19" i="143"/>
  <c r="V18" i="143"/>
  <c r="B18" i="143" s="1"/>
  <c r="D18" i="143"/>
  <c r="C18" i="143"/>
  <c r="V17" i="143"/>
  <c r="B17" i="143" s="1"/>
  <c r="O17" i="143"/>
  <c r="C17" i="143"/>
  <c r="D17" i="143" s="1"/>
  <c r="V16" i="143"/>
  <c r="R16" i="143"/>
  <c r="D16" i="143"/>
  <c r="C16" i="143"/>
  <c r="B16" i="143"/>
  <c r="V15" i="143"/>
  <c r="B15" i="143" s="1"/>
  <c r="P15" i="143"/>
  <c r="U15" i="143" s="1"/>
  <c r="O15" i="143"/>
  <c r="D15" i="143"/>
  <c r="C15" i="143"/>
  <c r="V14" i="143"/>
  <c r="B14" i="143" s="1"/>
  <c r="D14" i="143"/>
  <c r="C14" i="143"/>
  <c r="V13" i="143"/>
  <c r="B13" i="143" s="1"/>
  <c r="C13" i="143"/>
  <c r="D13" i="143" s="1"/>
  <c r="V12" i="143"/>
  <c r="C12" i="143"/>
  <c r="D12" i="143" s="1"/>
  <c r="B12" i="143"/>
  <c r="V11" i="143"/>
  <c r="P11" i="143"/>
  <c r="P13" i="143" s="1"/>
  <c r="O25" i="143" s="1"/>
  <c r="D11" i="143"/>
  <c r="C11" i="143"/>
  <c r="B11" i="143"/>
  <c r="V10" i="143"/>
  <c r="B10" i="143" s="1"/>
  <c r="C10" i="143"/>
  <c r="D10" i="143" s="1"/>
  <c r="V9" i="143"/>
  <c r="C9" i="143"/>
  <c r="D9" i="143" s="1"/>
  <c r="B9" i="143"/>
  <c r="V8" i="143"/>
  <c r="Q8" i="143"/>
  <c r="C8" i="143"/>
  <c r="D8" i="143" s="1"/>
  <c r="B8" i="143"/>
  <c r="V7" i="143"/>
  <c r="O7" i="143"/>
  <c r="D7" i="143"/>
  <c r="C7" i="143"/>
  <c r="B7" i="143"/>
  <c r="V6" i="143"/>
  <c r="B6" i="143" s="1"/>
  <c r="D6" i="143"/>
  <c r="C6" i="143"/>
  <c r="V5" i="143"/>
  <c r="D5" i="143"/>
  <c r="C5" i="143"/>
  <c r="B5" i="143"/>
  <c r="V4" i="143"/>
  <c r="B4" i="143" s="1"/>
  <c r="D4" i="143"/>
  <c r="C4" i="143"/>
  <c r="V3" i="143"/>
  <c r="B3" i="143" s="1"/>
  <c r="U3" i="143"/>
  <c r="T3" i="143"/>
  <c r="S3" i="143"/>
  <c r="Q3" i="143"/>
  <c r="Q10" i="143" s="1"/>
  <c r="P3" i="143"/>
  <c r="C3" i="143"/>
  <c r="D3" i="143" s="1"/>
  <c r="O52" i="142"/>
  <c r="O51" i="142"/>
  <c r="V36" i="142"/>
  <c r="C36" i="142"/>
  <c r="D36" i="142" s="1"/>
  <c r="B36" i="142"/>
  <c r="V35" i="142"/>
  <c r="C35" i="142"/>
  <c r="D35" i="142" s="1"/>
  <c r="B35" i="142"/>
  <c r="V34" i="142"/>
  <c r="C34" i="142"/>
  <c r="D34" i="142" s="1"/>
  <c r="B34" i="142"/>
  <c r="V33" i="142"/>
  <c r="C33" i="142"/>
  <c r="D33" i="142" s="1"/>
  <c r="B33" i="142"/>
  <c r="V32" i="142"/>
  <c r="C32" i="142"/>
  <c r="D32" i="142" s="1"/>
  <c r="B32" i="142"/>
  <c r="V31" i="142"/>
  <c r="C31" i="142"/>
  <c r="D31" i="142" s="1"/>
  <c r="B31" i="142"/>
  <c r="V30" i="142"/>
  <c r="C30" i="142"/>
  <c r="D30" i="142" s="1"/>
  <c r="B30" i="142"/>
  <c r="V29" i="142"/>
  <c r="O29" i="142"/>
  <c r="D29" i="142"/>
  <c r="C29" i="142"/>
  <c r="B29" i="142"/>
  <c r="V28" i="142"/>
  <c r="B28" i="142" s="1"/>
  <c r="D28" i="142"/>
  <c r="C28" i="142"/>
  <c r="V27" i="142"/>
  <c r="B27" i="142" s="1"/>
  <c r="D27" i="142"/>
  <c r="C27" i="142"/>
  <c r="V26" i="142"/>
  <c r="B26" i="142" s="1"/>
  <c r="D26" i="142"/>
  <c r="C26" i="142"/>
  <c r="V25" i="142"/>
  <c r="P25" i="142"/>
  <c r="C25" i="142"/>
  <c r="D25" i="142" s="1"/>
  <c r="B25" i="142"/>
  <c r="V24" i="142"/>
  <c r="B24" i="142" s="1"/>
  <c r="D24" i="142"/>
  <c r="C24" i="142"/>
  <c r="V23" i="142"/>
  <c r="B23" i="142" s="1"/>
  <c r="D23" i="142"/>
  <c r="C23" i="142"/>
  <c r="V22" i="142"/>
  <c r="B22" i="142" s="1"/>
  <c r="D22" i="142"/>
  <c r="C22" i="142"/>
  <c r="V21" i="142"/>
  <c r="B21" i="142" s="1"/>
  <c r="D21" i="142"/>
  <c r="C21" i="142"/>
  <c r="V20" i="142"/>
  <c r="B20" i="142" s="1"/>
  <c r="D20" i="142"/>
  <c r="C20" i="142"/>
  <c r="V19" i="142"/>
  <c r="B19" i="142" s="1"/>
  <c r="D19" i="142"/>
  <c r="C19" i="142"/>
  <c r="V18" i="142"/>
  <c r="C18" i="142"/>
  <c r="D18" i="142" s="1"/>
  <c r="B18" i="142"/>
  <c r="V17" i="142"/>
  <c r="O17" i="142"/>
  <c r="O15" i="142" s="1"/>
  <c r="D17" i="142"/>
  <c r="C17" i="142"/>
  <c r="B17" i="142"/>
  <c r="V16" i="142"/>
  <c r="B16" i="142" s="1"/>
  <c r="C16" i="142"/>
  <c r="D16" i="142" s="1"/>
  <c r="V15" i="142"/>
  <c r="U15" i="142"/>
  <c r="R15" i="142"/>
  <c r="P15" i="142"/>
  <c r="C15" i="142"/>
  <c r="D15" i="142" s="1"/>
  <c r="B15" i="142"/>
  <c r="V14" i="142"/>
  <c r="C14" i="142"/>
  <c r="D14" i="142" s="1"/>
  <c r="B14" i="142"/>
  <c r="V13" i="142"/>
  <c r="D13" i="142"/>
  <c r="C13" i="142"/>
  <c r="B13" i="142"/>
  <c r="V12" i="142"/>
  <c r="B12" i="142" s="1"/>
  <c r="D12" i="142"/>
  <c r="C12" i="142"/>
  <c r="V11" i="142"/>
  <c r="B11" i="142" s="1"/>
  <c r="C11" i="142"/>
  <c r="D11" i="142" s="1"/>
  <c r="V10" i="142"/>
  <c r="Q10" i="142"/>
  <c r="D10" i="142"/>
  <c r="C10" i="142"/>
  <c r="B10" i="142"/>
  <c r="V9" i="142"/>
  <c r="B9" i="142" s="1"/>
  <c r="D9" i="142"/>
  <c r="C9" i="142"/>
  <c r="V8" i="142"/>
  <c r="Q8" i="142"/>
  <c r="D8" i="142"/>
  <c r="C8" i="142"/>
  <c r="B8" i="142"/>
  <c r="V7" i="142"/>
  <c r="B7" i="142" s="1"/>
  <c r="O7" i="142"/>
  <c r="C7" i="142"/>
  <c r="D7" i="142" s="1"/>
  <c r="V6" i="142"/>
  <c r="C6" i="142"/>
  <c r="D6" i="142" s="1"/>
  <c r="B6" i="142"/>
  <c r="V5" i="142"/>
  <c r="C5" i="142"/>
  <c r="D5" i="142" s="1"/>
  <c r="B5" i="142"/>
  <c r="V4" i="142"/>
  <c r="C4" i="142"/>
  <c r="D4" i="142" s="1"/>
  <c r="B4" i="142"/>
  <c r="V3" i="142"/>
  <c r="U3" i="142"/>
  <c r="T3" i="142"/>
  <c r="S3" i="142"/>
  <c r="Q3" i="142"/>
  <c r="P3" i="142"/>
  <c r="P11" i="142" s="1"/>
  <c r="D3" i="142"/>
  <c r="C3" i="142"/>
  <c r="O41" i="142" s="1"/>
  <c r="O5" i="142" s="1"/>
  <c r="O3" i="142" s="1"/>
  <c r="O11" i="142" s="1"/>
  <c r="O13" i="142" s="1"/>
  <c r="B3" i="142"/>
  <c r="T3" i="140"/>
  <c r="O17" i="140"/>
  <c r="AD52" i="141"/>
  <c r="AB52" i="141"/>
  <c r="AA52" i="141"/>
  <c r="Z52" i="141"/>
  <c r="AD51" i="141"/>
  <c r="AB51" i="141"/>
  <c r="Z51" i="141"/>
  <c r="AD50" i="141"/>
  <c r="AC50" i="141"/>
  <c r="AC52" i="141" s="1"/>
  <c r="AB50" i="141"/>
  <c r="AA50" i="141"/>
  <c r="Z50" i="141"/>
  <c r="Y50" i="141"/>
  <c r="Y52" i="141" s="1"/>
  <c r="AD49" i="141"/>
  <c r="AB49" i="141"/>
  <c r="Z49" i="141"/>
  <c r="AD48" i="141"/>
  <c r="AB48" i="141"/>
  <c r="Z48" i="141"/>
  <c r="AD47" i="141"/>
  <c r="AC47" i="141"/>
  <c r="AC49" i="141" s="1"/>
  <c r="AB47" i="141"/>
  <c r="AA47" i="141"/>
  <c r="AA49" i="141" s="1"/>
  <c r="Z47" i="141"/>
  <c r="Y47" i="141"/>
  <c r="Y49" i="141" s="1"/>
  <c r="AD46" i="141"/>
  <c r="AB46" i="141"/>
  <c r="Z46" i="141"/>
  <c r="X46" i="141"/>
  <c r="V46" i="141"/>
  <c r="T46" i="141"/>
  <c r="R46" i="141"/>
  <c r="AD45" i="141"/>
  <c r="AB45" i="141"/>
  <c r="Z45" i="141"/>
  <c r="X45" i="141"/>
  <c r="V45" i="141"/>
  <c r="T45" i="141"/>
  <c r="S45" i="141"/>
  <c r="R45" i="141"/>
  <c r="Q45" i="141"/>
  <c r="M45" i="141"/>
  <c r="AG44" i="141"/>
  <c r="AE44" i="141"/>
  <c r="AD44" i="141"/>
  <c r="AC44" i="141"/>
  <c r="AC46" i="141" s="1"/>
  <c r="AB44" i="141"/>
  <c r="AA44" i="141"/>
  <c r="AA46" i="141" s="1"/>
  <c r="Z44" i="141"/>
  <c r="Y44" i="141"/>
  <c r="Y46" i="141" s="1"/>
  <c r="W44" i="141"/>
  <c r="W46" i="141" s="1"/>
  <c r="U44" i="141"/>
  <c r="U46" i="141" s="1"/>
  <c r="S44" i="141"/>
  <c r="Q44" i="141"/>
  <c r="L44" i="141"/>
  <c r="K44" i="141"/>
  <c r="I44" i="141"/>
  <c r="H44" i="141"/>
  <c r="G44" i="141"/>
  <c r="F44" i="141"/>
  <c r="D44" i="141"/>
  <c r="AI6" i="141" s="1"/>
  <c r="C44" i="141"/>
  <c r="A44" i="141"/>
  <c r="AH6" i="141" s="1"/>
  <c r="AI8" i="141"/>
  <c r="AH9" i="141" s="1"/>
  <c r="O52" i="140"/>
  <c r="O51" i="140"/>
  <c r="V36" i="140"/>
  <c r="B36" i="140" s="1"/>
  <c r="C36" i="140"/>
  <c r="D36" i="140" s="1"/>
  <c r="V35" i="140"/>
  <c r="B35" i="140" s="1"/>
  <c r="C35" i="140"/>
  <c r="D35" i="140" s="1"/>
  <c r="V34" i="140"/>
  <c r="B34" i="140" s="1"/>
  <c r="C34" i="140"/>
  <c r="D34" i="140" s="1"/>
  <c r="V33" i="140"/>
  <c r="B33" i="140" s="1"/>
  <c r="C33" i="140"/>
  <c r="D33" i="140" s="1"/>
  <c r="V32" i="140"/>
  <c r="B32" i="140" s="1"/>
  <c r="C32" i="140"/>
  <c r="D32" i="140" s="1"/>
  <c r="V31" i="140"/>
  <c r="B31" i="140" s="1"/>
  <c r="C31" i="140"/>
  <c r="D31" i="140" s="1"/>
  <c r="V30" i="140"/>
  <c r="B30" i="140" s="1"/>
  <c r="C30" i="140"/>
  <c r="D30" i="140" s="1"/>
  <c r="V29" i="140"/>
  <c r="B29" i="140" s="1"/>
  <c r="O29" i="140"/>
  <c r="C29" i="140"/>
  <c r="D29" i="140" s="1"/>
  <c r="V28" i="140"/>
  <c r="B28" i="140" s="1"/>
  <c r="C28" i="140"/>
  <c r="D28" i="140" s="1"/>
  <c r="V27" i="140"/>
  <c r="B27" i="140" s="1"/>
  <c r="C27" i="140"/>
  <c r="D27" i="140" s="1"/>
  <c r="V26" i="140"/>
  <c r="C26" i="140"/>
  <c r="D26" i="140" s="1"/>
  <c r="B26" i="140"/>
  <c r="V25" i="140"/>
  <c r="P25" i="140"/>
  <c r="D25" i="140"/>
  <c r="C25" i="140"/>
  <c r="B25" i="140"/>
  <c r="V24" i="140"/>
  <c r="C24" i="140"/>
  <c r="D24" i="140" s="1"/>
  <c r="B24" i="140"/>
  <c r="V23" i="140"/>
  <c r="C23" i="140"/>
  <c r="D23" i="140" s="1"/>
  <c r="B23" i="140"/>
  <c r="V22" i="140"/>
  <c r="B22" i="140" s="1"/>
  <c r="C22" i="140"/>
  <c r="D22" i="140" s="1"/>
  <c r="V21" i="140"/>
  <c r="B21" i="140" s="1"/>
  <c r="C21" i="140"/>
  <c r="D21" i="140" s="1"/>
  <c r="V20" i="140"/>
  <c r="C20" i="140"/>
  <c r="D20" i="140" s="1"/>
  <c r="B20" i="140"/>
  <c r="V19" i="140"/>
  <c r="C19" i="140"/>
  <c r="D19" i="140" s="1"/>
  <c r="B19" i="140"/>
  <c r="V18" i="140"/>
  <c r="B18" i="140" s="1"/>
  <c r="D18" i="140"/>
  <c r="C18" i="140"/>
  <c r="V17" i="140"/>
  <c r="B17" i="140" s="1"/>
  <c r="C17" i="140"/>
  <c r="D17" i="140" s="1"/>
  <c r="V16" i="140"/>
  <c r="B16" i="140" s="1"/>
  <c r="R16" i="140"/>
  <c r="C16" i="140"/>
  <c r="D16" i="140" s="1"/>
  <c r="V15" i="140"/>
  <c r="B15" i="140" s="1"/>
  <c r="P15" i="140"/>
  <c r="U15" i="140" s="1"/>
  <c r="O15" i="140"/>
  <c r="C15" i="140"/>
  <c r="D15" i="140" s="1"/>
  <c r="V14" i="140"/>
  <c r="B14" i="140" s="1"/>
  <c r="C14" i="140"/>
  <c r="D14" i="140" s="1"/>
  <c r="V13" i="140"/>
  <c r="B13" i="140" s="1"/>
  <c r="C13" i="140"/>
  <c r="D13" i="140" s="1"/>
  <c r="V12" i="140"/>
  <c r="B12" i="140" s="1"/>
  <c r="C12" i="140"/>
  <c r="D12" i="140" s="1"/>
  <c r="V11" i="140"/>
  <c r="P11" i="140"/>
  <c r="P13" i="140" s="1"/>
  <c r="O25" i="140" s="1"/>
  <c r="C11" i="140"/>
  <c r="D11" i="140" s="1"/>
  <c r="B11" i="140"/>
  <c r="V10" i="140"/>
  <c r="C10" i="140"/>
  <c r="D10" i="140" s="1"/>
  <c r="B10" i="140"/>
  <c r="V9" i="140"/>
  <c r="B9" i="140" s="1"/>
  <c r="C9" i="140"/>
  <c r="D9" i="140" s="1"/>
  <c r="V8" i="140"/>
  <c r="B8" i="140" s="1"/>
  <c r="Q8" i="140"/>
  <c r="C8" i="140"/>
  <c r="D8" i="140" s="1"/>
  <c r="V7" i="140"/>
  <c r="B7" i="140" s="1"/>
  <c r="O7" i="140"/>
  <c r="D7" i="140"/>
  <c r="C7" i="140"/>
  <c r="V6" i="140"/>
  <c r="B6" i="140" s="1"/>
  <c r="D6" i="140"/>
  <c r="C6" i="140"/>
  <c r="V5" i="140"/>
  <c r="B5" i="140" s="1"/>
  <c r="C5" i="140"/>
  <c r="D5" i="140" s="1"/>
  <c r="V4" i="140"/>
  <c r="B4" i="140" s="1"/>
  <c r="C4" i="140"/>
  <c r="D4" i="140" s="1"/>
  <c r="V3" i="140"/>
  <c r="B3" i="140" s="1"/>
  <c r="U3" i="140"/>
  <c r="S3" i="140"/>
  <c r="Q3" i="140"/>
  <c r="Q10" i="140" s="1"/>
  <c r="P3" i="140"/>
  <c r="C3" i="140"/>
  <c r="D3" i="140" s="1"/>
  <c r="O52" i="139"/>
  <c r="O51" i="139"/>
  <c r="V36" i="139"/>
  <c r="B36" i="139" s="1"/>
  <c r="C36" i="139"/>
  <c r="D36" i="139" s="1"/>
  <c r="V35" i="139"/>
  <c r="B35" i="139" s="1"/>
  <c r="C35" i="139"/>
  <c r="D35" i="139" s="1"/>
  <c r="V34" i="139"/>
  <c r="B34" i="139" s="1"/>
  <c r="C34" i="139"/>
  <c r="D34" i="139" s="1"/>
  <c r="V33" i="139"/>
  <c r="B33" i="139" s="1"/>
  <c r="C33" i="139"/>
  <c r="D33" i="139" s="1"/>
  <c r="V32" i="139"/>
  <c r="B32" i="139" s="1"/>
  <c r="C32" i="139"/>
  <c r="D32" i="139" s="1"/>
  <c r="V31" i="139"/>
  <c r="B31" i="139" s="1"/>
  <c r="C31" i="139"/>
  <c r="D31" i="139" s="1"/>
  <c r="V30" i="139"/>
  <c r="B30" i="139" s="1"/>
  <c r="C30" i="139"/>
  <c r="D30" i="139" s="1"/>
  <c r="V29" i="139"/>
  <c r="O29" i="139"/>
  <c r="C29" i="139"/>
  <c r="D29" i="139" s="1"/>
  <c r="B29" i="139"/>
  <c r="V28" i="139"/>
  <c r="C28" i="139"/>
  <c r="D28" i="139" s="1"/>
  <c r="B28" i="139"/>
  <c r="V27" i="139"/>
  <c r="C27" i="139"/>
  <c r="D27" i="139" s="1"/>
  <c r="B27" i="139"/>
  <c r="V26" i="139"/>
  <c r="C26" i="139"/>
  <c r="D26" i="139" s="1"/>
  <c r="B26" i="139"/>
  <c r="V25" i="139"/>
  <c r="P25" i="139"/>
  <c r="D25" i="139"/>
  <c r="C25" i="139"/>
  <c r="B25" i="139"/>
  <c r="V24" i="139"/>
  <c r="C24" i="139"/>
  <c r="D24" i="139" s="1"/>
  <c r="B24" i="139"/>
  <c r="V23" i="139"/>
  <c r="C23" i="139"/>
  <c r="D23" i="139" s="1"/>
  <c r="B23" i="139"/>
  <c r="V22" i="139"/>
  <c r="C22" i="139"/>
  <c r="D22" i="139" s="1"/>
  <c r="B22" i="139"/>
  <c r="V21" i="139"/>
  <c r="C21" i="139"/>
  <c r="D21" i="139" s="1"/>
  <c r="B21" i="139"/>
  <c r="V20" i="139"/>
  <c r="C20" i="139"/>
  <c r="D20" i="139" s="1"/>
  <c r="B20" i="139"/>
  <c r="V19" i="139"/>
  <c r="C19" i="139"/>
  <c r="D19" i="139" s="1"/>
  <c r="B19" i="139"/>
  <c r="V18" i="139"/>
  <c r="D18" i="139"/>
  <c r="C18" i="139"/>
  <c r="B18" i="139"/>
  <c r="V17" i="139"/>
  <c r="B17" i="139" s="1"/>
  <c r="O17" i="139"/>
  <c r="C17" i="139"/>
  <c r="D17" i="139" s="1"/>
  <c r="V16" i="139"/>
  <c r="R16" i="139"/>
  <c r="C16" i="139"/>
  <c r="D16" i="139" s="1"/>
  <c r="B16" i="139"/>
  <c r="V15" i="139"/>
  <c r="B15" i="139" s="1"/>
  <c r="P15" i="139"/>
  <c r="U15" i="139" s="1"/>
  <c r="O15" i="139"/>
  <c r="C15" i="139"/>
  <c r="D15" i="139" s="1"/>
  <c r="V14" i="139"/>
  <c r="B14" i="139" s="1"/>
  <c r="C14" i="139"/>
  <c r="D14" i="139" s="1"/>
  <c r="V13" i="139"/>
  <c r="B13" i="139" s="1"/>
  <c r="C13" i="139"/>
  <c r="D13" i="139" s="1"/>
  <c r="V12" i="139"/>
  <c r="B12" i="139" s="1"/>
  <c r="C12" i="139"/>
  <c r="D12" i="139" s="1"/>
  <c r="V11" i="139"/>
  <c r="P11" i="139"/>
  <c r="P13" i="139" s="1"/>
  <c r="O25" i="139" s="1"/>
  <c r="C11" i="139"/>
  <c r="D11" i="139" s="1"/>
  <c r="B11" i="139"/>
  <c r="V10" i="139"/>
  <c r="C10" i="139"/>
  <c r="D10" i="139" s="1"/>
  <c r="B10" i="139"/>
  <c r="V9" i="139"/>
  <c r="C9" i="139"/>
  <c r="D9" i="139" s="1"/>
  <c r="B9" i="139"/>
  <c r="V8" i="139"/>
  <c r="Q8" i="139"/>
  <c r="C8" i="139"/>
  <c r="D8" i="139" s="1"/>
  <c r="B8" i="139"/>
  <c r="V7" i="139"/>
  <c r="O7" i="139"/>
  <c r="D7" i="139"/>
  <c r="C7" i="139"/>
  <c r="B7" i="139"/>
  <c r="V6" i="139"/>
  <c r="B6" i="139" s="1"/>
  <c r="D6" i="139"/>
  <c r="C6" i="139"/>
  <c r="V5" i="139"/>
  <c r="B5" i="139" s="1"/>
  <c r="C5" i="139"/>
  <c r="D5" i="139" s="1"/>
  <c r="V4" i="139"/>
  <c r="B4" i="139" s="1"/>
  <c r="C4" i="139"/>
  <c r="D4" i="139" s="1"/>
  <c r="V3" i="139"/>
  <c r="B3" i="139" s="1"/>
  <c r="U3" i="139"/>
  <c r="T3" i="139"/>
  <c r="S3" i="139"/>
  <c r="Q3" i="139"/>
  <c r="Q10" i="139" s="1"/>
  <c r="P3" i="139"/>
  <c r="C3" i="139"/>
  <c r="D3" i="139" s="1"/>
  <c r="S44" i="137"/>
  <c r="S45" i="137"/>
  <c r="Q45" i="137"/>
  <c r="AD52" i="137"/>
  <c r="AC50" i="137"/>
  <c r="AC52" i="137"/>
  <c r="AB52" i="137"/>
  <c r="AA50" i="137"/>
  <c r="AA52" i="137"/>
  <c r="Z52" i="137"/>
  <c r="Y50" i="137"/>
  <c r="Y52" i="137"/>
  <c r="AD51" i="137"/>
  <c r="AB51" i="137"/>
  <c r="Z51" i="137"/>
  <c r="AD50" i="137"/>
  <c r="AB50" i="137"/>
  <c r="Z50" i="137"/>
  <c r="AD49" i="137"/>
  <c r="AC47" i="137"/>
  <c r="AC49" i="137"/>
  <c r="AB49" i="137"/>
  <c r="AA47" i="137"/>
  <c r="AA49" i="137"/>
  <c r="Z49" i="137"/>
  <c r="Y47" i="137"/>
  <c r="Y49" i="137"/>
  <c r="AD48" i="137"/>
  <c r="AB48" i="137"/>
  <c r="Z48" i="137"/>
  <c r="AD47" i="137"/>
  <c r="AB47" i="137"/>
  <c r="Z47" i="137"/>
  <c r="Q44" i="137"/>
  <c r="Q47" i="137"/>
  <c r="AD46" i="137"/>
  <c r="AC44" i="137"/>
  <c r="AC46" i="137"/>
  <c r="AB46" i="137"/>
  <c r="AA44" i="137"/>
  <c r="AA46" i="137"/>
  <c r="Z46" i="137"/>
  <c r="Y44" i="137"/>
  <c r="Y46" i="137"/>
  <c r="X46" i="137"/>
  <c r="W44" i="137"/>
  <c r="W46" i="137"/>
  <c r="V46" i="137"/>
  <c r="U44" i="137"/>
  <c r="U46" i="137"/>
  <c r="T46" i="137"/>
  <c r="R46" i="137"/>
  <c r="AG3" i="137"/>
  <c r="AG44" i="137"/>
  <c r="F44" i="137"/>
  <c r="G44" i="137"/>
  <c r="I44" i="137"/>
  <c r="M45" i="137"/>
  <c r="AK6" i="137"/>
  <c r="O3" i="137"/>
  <c r="O44" i="137"/>
  <c r="O46" i="137"/>
  <c r="AD45" i="137"/>
  <c r="AB45" i="137"/>
  <c r="Z45" i="137"/>
  <c r="X45" i="137"/>
  <c r="V45" i="137"/>
  <c r="T45" i="137"/>
  <c r="R45" i="137"/>
  <c r="AE44" i="137"/>
  <c r="AD44" i="137"/>
  <c r="AB44" i="137"/>
  <c r="Z44" i="137"/>
  <c r="L44" i="137"/>
  <c r="K44" i="137"/>
  <c r="H44" i="137"/>
  <c r="D44" i="137"/>
  <c r="C44" i="137"/>
  <c r="A44" i="137"/>
  <c r="AI8" i="137"/>
  <c r="AH9" i="137"/>
  <c r="AJ6" i="137"/>
  <c r="AI6" i="137"/>
  <c r="AH6" i="137"/>
  <c r="AK3" i="137"/>
  <c r="AJ3" i="137"/>
  <c r="P3" i="137"/>
  <c r="Q47" i="136"/>
  <c r="R45" i="136"/>
  <c r="AD52" i="136"/>
  <c r="AC50" i="136"/>
  <c r="AC52" i="136"/>
  <c r="AB52" i="136"/>
  <c r="AA50" i="136"/>
  <c r="AA52" i="136"/>
  <c r="Z52" i="136"/>
  <c r="Y50" i="136"/>
  <c r="Y52" i="136"/>
  <c r="AD51" i="136"/>
  <c r="AB51" i="136"/>
  <c r="Z51" i="136"/>
  <c r="AD50" i="136"/>
  <c r="AB50" i="136"/>
  <c r="Z50" i="136"/>
  <c r="AD49" i="136"/>
  <c r="AC47" i="136"/>
  <c r="AC49" i="136"/>
  <c r="AB49" i="136"/>
  <c r="AA47" i="136"/>
  <c r="AA49" i="136"/>
  <c r="Z49" i="136"/>
  <c r="Y47" i="136"/>
  <c r="Y49" i="136"/>
  <c r="AD48" i="136"/>
  <c r="AB48" i="136"/>
  <c r="Z48" i="136"/>
  <c r="AD47" i="136"/>
  <c r="AB47" i="136"/>
  <c r="Z47" i="136"/>
  <c r="AD46" i="136"/>
  <c r="AC44" i="136"/>
  <c r="AC46" i="136"/>
  <c r="AB46" i="136"/>
  <c r="AA44" i="136"/>
  <c r="AA46" i="136"/>
  <c r="Z46" i="136"/>
  <c r="Y44" i="136"/>
  <c r="Y46" i="136"/>
  <c r="X46" i="136"/>
  <c r="W44" i="136"/>
  <c r="W46" i="136"/>
  <c r="V46" i="136"/>
  <c r="U44" i="136"/>
  <c r="U46" i="136"/>
  <c r="T46" i="136"/>
  <c r="S44" i="136"/>
  <c r="S46" i="136"/>
  <c r="R46" i="136"/>
  <c r="Q44" i="136"/>
  <c r="AG3" i="136"/>
  <c r="AG44" i="136"/>
  <c r="F44" i="136"/>
  <c r="G44" i="136"/>
  <c r="I44" i="136"/>
  <c r="M45" i="136"/>
  <c r="AK6" i="136"/>
  <c r="O3" i="136"/>
  <c r="O44" i="136"/>
  <c r="O46" i="136"/>
  <c r="AD45" i="136"/>
  <c r="AB45" i="136"/>
  <c r="Z45" i="136"/>
  <c r="X45" i="136"/>
  <c r="V45" i="136"/>
  <c r="T45" i="136"/>
  <c r="AE44" i="136"/>
  <c r="AD44" i="136"/>
  <c r="AB44" i="136"/>
  <c r="Z44" i="136"/>
  <c r="L44" i="136"/>
  <c r="K44" i="136"/>
  <c r="H44" i="136"/>
  <c r="D44" i="136"/>
  <c r="C44" i="136"/>
  <c r="A44" i="136"/>
  <c r="AI8" i="136"/>
  <c r="AH9" i="136"/>
  <c r="AJ6" i="136"/>
  <c r="AI6" i="136"/>
  <c r="AH6" i="136"/>
  <c r="AK3" i="136"/>
  <c r="AJ3" i="136"/>
  <c r="P3" i="136"/>
  <c r="P3" i="115"/>
  <c r="P11" i="115"/>
  <c r="C44" i="135"/>
  <c r="AJ6" i="135"/>
  <c r="P3" i="135"/>
  <c r="F44" i="135"/>
  <c r="Q44" i="135"/>
  <c r="AK6" i="135"/>
  <c r="AG44" i="135"/>
  <c r="O3" i="135"/>
  <c r="AG3" i="135"/>
  <c r="AD52" i="135"/>
  <c r="AC50" i="135"/>
  <c r="AC52" i="135"/>
  <c r="AB52" i="135"/>
  <c r="AA50" i="135"/>
  <c r="AA52" i="135"/>
  <c r="Z52" i="135"/>
  <c r="Y50" i="135"/>
  <c r="Y52" i="135"/>
  <c r="AD51" i="135"/>
  <c r="AB51" i="135"/>
  <c r="Z51" i="135"/>
  <c r="AD50" i="135"/>
  <c r="AB50" i="135"/>
  <c r="Z50" i="135"/>
  <c r="AD49" i="135"/>
  <c r="AC47" i="135"/>
  <c r="AC49" i="135"/>
  <c r="AB49" i="135"/>
  <c r="AA47" i="135"/>
  <c r="AA49" i="135"/>
  <c r="Z49" i="135"/>
  <c r="Y47" i="135"/>
  <c r="Y49" i="135"/>
  <c r="AD48" i="135"/>
  <c r="AB48" i="135"/>
  <c r="Z48" i="135"/>
  <c r="AD47" i="135"/>
  <c r="AB47" i="135"/>
  <c r="Z47" i="135"/>
  <c r="AD46" i="135"/>
  <c r="AC44" i="135"/>
  <c r="AC46" i="135"/>
  <c r="AB46" i="135"/>
  <c r="AA44" i="135"/>
  <c r="AA46" i="135"/>
  <c r="Z46" i="135"/>
  <c r="Y44" i="135"/>
  <c r="Y46" i="135"/>
  <c r="X46" i="135"/>
  <c r="W44" i="135"/>
  <c r="W46" i="135"/>
  <c r="V46" i="135"/>
  <c r="U44" i="135"/>
  <c r="U46" i="135"/>
  <c r="T46" i="135"/>
  <c r="S44" i="135"/>
  <c r="S46" i="135"/>
  <c r="R46" i="135"/>
  <c r="Q46" i="135"/>
  <c r="G44" i="135"/>
  <c r="I44" i="135"/>
  <c r="M45" i="135"/>
  <c r="O44" i="135"/>
  <c r="O46" i="135"/>
  <c r="AD45" i="135"/>
  <c r="AB45" i="135"/>
  <c r="Z45" i="135"/>
  <c r="X45" i="135"/>
  <c r="V45" i="135"/>
  <c r="T45" i="135"/>
  <c r="R45" i="135"/>
  <c r="AE44" i="135"/>
  <c r="AD44" i="135"/>
  <c r="AB44" i="135"/>
  <c r="Z44" i="135"/>
  <c r="L44" i="135"/>
  <c r="K44" i="135"/>
  <c r="H44" i="135"/>
  <c r="D44" i="135"/>
  <c r="A44" i="135"/>
  <c r="AI8" i="135"/>
  <c r="AH9" i="135"/>
  <c r="AI6" i="135"/>
  <c r="AH6" i="135"/>
  <c r="AK3" i="135"/>
  <c r="AJ3" i="135"/>
  <c r="M45" i="133"/>
  <c r="AG3" i="133"/>
  <c r="AD52" i="133"/>
  <c r="AC50" i="133"/>
  <c r="AC52" i="133"/>
  <c r="AB52" i="133"/>
  <c r="AA50" i="133"/>
  <c r="AA52" i="133"/>
  <c r="Z52" i="133"/>
  <c r="Y50" i="133"/>
  <c r="Y52" i="133"/>
  <c r="AD51" i="133"/>
  <c r="AB51" i="133"/>
  <c r="Z51" i="133"/>
  <c r="AD50" i="133"/>
  <c r="AB50" i="133"/>
  <c r="Z50" i="133"/>
  <c r="AD49" i="133"/>
  <c r="AC47" i="133"/>
  <c r="AC49" i="133"/>
  <c r="AB49" i="133"/>
  <c r="AA47" i="133"/>
  <c r="AA49" i="133"/>
  <c r="Z49" i="133"/>
  <c r="Y47" i="133"/>
  <c r="Y49" i="133"/>
  <c r="AD48" i="133"/>
  <c r="AB48" i="133"/>
  <c r="Z48" i="133"/>
  <c r="AD47" i="133"/>
  <c r="AB47" i="133"/>
  <c r="Z47" i="133"/>
  <c r="AD46" i="133"/>
  <c r="AC44" i="133"/>
  <c r="AC46" i="133"/>
  <c r="AB46" i="133"/>
  <c r="AA44" i="133"/>
  <c r="AA46" i="133"/>
  <c r="Z46" i="133"/>
  <c r="Y44" i="133"/>
  <c r="Y46" i="133"/>
  <c r="X46" i="133"/>
  <c r="W44" i="133"/>
  <c r="W46" i="133"/>
  <c r="V46" i="133"/>
  <c r="U44" i="133"/>
  <c r="U46" i="133"/>
  <c r="T46" i="133"/>
  <c r="S44" i="133"/>
  <c r="S46" i="133"/>
  <c r="R46" i="133"/>
  <c r="Q44" i="133"/>
  <c r="Q46" i="133"/>
  <c r="AG44" i="133"/>
  <c r="F44" i="133"/>
  <c r="G44" i="133"/>
  <c r="I44" i="133"/>
  <c r="AK6" i="133"/>
  <c r="O3" i="133"/>
  <c r="O44" i="133"/>
  <c r="O46" i="133"/>
  <c r="AD45" i="133"/>
  <c r="AB45" i="133"/>
  <c r="Z45" i="133"/>
  <c r="X45" i="133"/>
  <c r="V45" i="133"/>
  <c r="T45" i="133"/>
  <c r="R45" i="133"/>
  <c r="AE44" i="133"/>
  <c r="AD44" i="133"/>
  <c r="AB44" i="133"/>
  <c r="Z44" i="133"/>
  <c r="L44" i="133"/>
  <c r="K44" i="133"/>
  <c r="H44" i="133"/>
  <c r="D44" i="133"/>
  <c r="C44" i="133"/>
  <c r="A44" i="133"/>
  <c r="AI8" i="133"/>
  <c r="AH9" i="133"/>
  <c r="AJ6" i="133"/>
  <c r="AI6" i="133"/>
  <c r="AH6" i="133"/>
  <c r="AK3" i="133"/>
  <c r="AJ3" i="133"/>
  <c r="P3" i="133"/>
  <c r="F44" i="128"/>
  <c r="Q44" i="128"/>
  <c r="AK6" i="128"/>
  <c r="AE44" i="128"/>
  <c r="P3" i="128"/>
  <c r="N45" i="128"/>
  <c r="U44" i="128"/>
  <c r="U46" i="128"/>
  <c r="W44" i="128"/>
  <c r="G44" i="128"/>
  <c r="I44" i="128"/>
  <c r="S44" i="128"/>
  <c r="Y44" i="128"/>
  <c r="AA44" i="128"/>
  <c r="AC44" i="128"/>
  <c r="Y47" i="128"/>
  <c r="Y50" i="128"/>
  <c r="AA47" i="128"/>
  <c r="AA50" i="128"/>
  <c r="AC47" i="128"/>
  <c r="AC50" i="128"/>
  <c r="AG3" i="128"/>
  <c r="AG44" i="128"/>
  <c r="O3" i="128"/>
  <c r="O44" i="128"/>
  <c r="O46" i="128"/>
  <c r="Q17" i="131"/>
  <c r="Q17" i="130"/>
  <c r="V3" i="131"/>
  <c r="Q29" i="131"/>
  <c r="U3" i="131"/>
  <c r="E12" i="131"/>
  <c r="E13" i="131"/>
  <c r="E14" i="131"/>
  <c r="E15" i="131"/>
  <c r="E16" i="131"/>
  <c r="E17" i="131"/>
  <c r="E18" i="131"/>
  <c r="E19" i="131"/>
  <c r="E20" i="131"/>
  <c r="E21" i="131"/>
  <c r="E22" i="131"/>
  <c r="E23" i="131"/>
  <c r="E24" i="131"/>
  <c r="E25" i="131"/>
  <c r="E26" i="131"/>
  <c r="E27" i="131"/>
  <c r="E28" i="131"/>
  <c r="E29" i="131"/>
  <c r="E30" i="131"/>
  <c r="E31" i="131"/>
  <c r="E32" i="131"/>
  <c r="E33" i="131"/>
  <c r="Q42" i="131"/>
  <c r="H42" i="131"/>
  <c r="E3" i="131"/>
  <c r="E4" i="131"/>
  <c r="E5" i="131"/>
  <c r="E6" i="131"/>
  <c r="E7" i="131"/>
  <c r="E8" i="131"/>
  <c r="E9" i="131"/>
  <c r="E10" i="131"/>
  <c r="E11" i="131"/>
  <c r="Q41" i="131"/>
  <c r="H41" i="131"/>
  <c r="X36" i="131"/>
  <c r="E36" i="131"/>
  <c r="F36" i="131"/>
  <c r="D36" i="131"/>
  <c r="X35" i="131"/>
  <c r="E35" i="131"/>
  <c r="F35" i="131"/>
  <c r="D35" i="131"/>
  <c r="X34" i="131"/>
  <c r="E34" i="131"/>
  <c r="F34" i="131"/>
  <c r="D34" i="131"/>
  <c r="X33" i="131"/>
  <c r="F33" i="131"/>
  <c r="D33" i="131"/>
  <c r="X32" i="131"/>
  <c r="F32" i="131"/>
  <c r="D32" i="131"/>
  <c r="X31" i="131"/>
  <c r="F31" i="131"/>
  <c r="D31" i="131"/>
  <c r="X30" i="131"/>
  <c r="F30" i="131"/>
  <c r="D30" i="131"/>
  <c r="X29" i="131"/>
  <c r="F29" i="131"/>
  <c r="D29" i="131"/>
  <c r="X28" i="131"/>
  <c r="F28" i="131"/>
  <c r="D28" i="131"/>
  <c r="X27" i="131"/>
  <c r="F27" i="131"/>
  <c r="D27" i="131"/>
  <c r="X26" i="131"/>
  <c r="F26" i="131"/>
  <c r="D26" i="131"/>
  <c r="X25" i="131"/>
  <c r="R25" i="131"/>
  <c r="R3" i="131"/>
  <c r="R11" i="131"/>
  <c r="R15" i="131"/>
  <c r="R13" i="131"/>
  <c r="Q25" i="131"/>
  <c r="F25" i="131"/>
  <c r="D25" i="131"/>
  <c r="X24" i="131"/>
  <c r="W16" i="131"/>
  <c r="W15" i="131"/>
  <c r="W17" i="131"/>
  <c r="S8" i="131"/>
  <c r="W18" i="131"/>
  <c r="U24" i="131"/>
  <c r="T16" i="131"/>
  <c r="T15" i="131"/>
  <c r="T17" i="131"/>
  <c r="S18" i="131"/>
  <c r="S24" i="131"/>
  <c r="F24" i="131"/>
  <c r="D24" i="131"/>
  <c r="X23" i="131"/>
  <c r="F23" i="131"/>
  <c r="D23" i="131"/>
  <c r="X22" i="131"/>
  <c r="F22" i="131"/>
  <c r="D22" i="131"/>
  <c r="X21" i="131"/>
  <c r="Q7" i="131"/>
  <c r="W3" i="131"/>
  <c r="Q21" i="131"/>
  <c r="F21" i="131"/>
  <c r="D21" i="131"/>
  <c r="X20" i="131"/>
  <c r="F20" i="131"/>
  <c r="D20" i="131"/>
  <c r="X19" i="131"/>
  <c r="F19" i="131"/>
  <c r="D19" i="131"/>
  <c r="X18" i="131"/>
  <c r="F18" i="131"/>
  <c r="D18" i="131"/>
  <c r="X17" i="131"/>
  <c r="F17" i="131"/>
  <c r="D17" i="131"/>
  <c r="X16" i="131"/>
  <c r="F16" i="131"/>
  <c r="D16" i="131"/>
  <c r="X15" i="131"/>
  <c r="Q15" i="131"/>
  <c r="F15" i="131"/>
  <c r="D15" i="131"/>
  <c r="X14" i="131"/>
  <c r="F14" i="131"/>
  <c r="D14" i="131"/>
  <c r="X13" i="131"/>
  <c r="Q5" i="131"/>
  <c r="Q3" i="131"/>
  <c r="Q11" i="131"/>
  <c r="Q13" i="131"/>
  <c r="F13" i="131"/>
  <c r="D13" i="131"/>
  <c r="X12" i="131"/>
  <c r="F12" i="131"/>
  <c r="D12" i="131"/>
  <c r="X11" i="131"/>
  <c r="F11" i="131"/>
  <c r="D11" i="131"/>
  <c r="X10" i="131"/>
  <c r="S3" i="131"/>
  <c r="S10" i="131"/>
  <c r="F10" i="131"/>
  <c r="D10" i="131"/>
  <c r="X9" i="131"/>
  <c r="F9" i="131"/>
  <c r="D9" i="131"/>
  <c r="X8" i="131"/>
  <c r="F8" i="131"/>
  <c r="D8" i="131"/>
  <c r="X7" i="131"/>
  <c r="F7" i="131"/>
  <c r="D7" i="131"/>
  <c r="X6" i="131"/>
  <c r="F6" i="131"/>
  <c r="D6" i="131"/>
  <c r="X5" i="131"/>
  <c r="F5" i="131"/>
  <c r="D5" i="131"/>
  <c r="X4" i="131"/>
  <c r="F4" i="131"/>
  <c r="D4" i="131"/>
  <c r="X3" i="131"/>
  <c r="F3" i="131"/>
  <c r="D3" i="131"/>
  <c r="E36" i="130"/>
  <c r="E35" i="130"/>
  <c r="E34" i="130"/>
  <c r="E33" i="130"/>
  <c r="E32" i="130"/>
  <c r="E31" i="130"/>
  <c r="E30" i="130"/>
  <c r="E29" i="130"/>
  <c r="E28" i="130"/>
  <c r="E27" i="130"/>
  <c r="E26" i="130"/>
  <c r="E25" i="130"/>
  <c r="E24" i="130"/>
  <c r="E23" i="130"/>
  <c r="E22" i="130"/>
  <c r="E21" i="130"/>
  <c r="E20" i="130"/>
  <c r="E19" i="130"/>
  <c r="E18" i="130"/>
  <c r="E17" i="130"/>
  <c r="E16" i="130"/>
  <c r="E15" i="130"/>
  <c r="E14" i="130"/>
  <c r="E13" i="130"/>
  <c r="E12" i="130"/>
  <c r="E11" i="130"/>
  <c r="E10" i="130"/>
  <c r="E9" i="130"/>
  <c r="E8" i="130"/>
  <c r="E7" i="130"/>
  <c r="E6" i="130"/>
  <c r="E5" i="130"/>
  <c r="E4" i="130"/>
  <c r="E3" i="130"/>
  <c r="E3" i="129"/>
  <c r="Q29" i="130"/>
  <c r="V3" i="130"/>
  <c r="U3" i="130"/>
  <c r="Q42" i="130"/>
  <c r="H42" i="130"/>
  <c r="Q41" i="130"/>
  <c r="H41" i="130"/>
  <c r="X36" i="130"/>
  <c r="F36" i="130"/>
  <c r="D36" i="130"/>
  <c r="X35" i="130"/>
  <c r="F35" i="130"/>
  <c r="D35" i="130"/>
  <c r="X34" i="130"/>
  <c r="F34" i="130"/>
  <c r="D34" i="130"/>
  <c r="X33" i="130"/>
  <c r="F33" i="130"/>
  <c r="D33" i="130"/>
  <c r="X32" i="130"/>
  <c r="F32" i="130"/>
  <c r="D32" i="130"/>
  <c r="X31" i="130"/>
  <c r="F31" i="130"/>
  <c r="D31" i="130"/>
  <c r="X30" i="130"/>
  <c r="F30" i="130"/>
  <c r="D30" i="130"/>
  <c r="X29" i="130"/>
  <c r="F29" i="130"/>
  <c r="D29" i="130"/>
  <c r="X28" i="130"/>
  <c r="F28" i="130"/>
  <c r="D28" i="130"/>
  <c r="X27" i="130"/>
  <c r="F27" i="130"/>
  <c r="D27" i="130"/>
  <c r="X26" i="130"/>
  <c r="F26" i="130"/>
  <c r="D26" i="130"/>
  <c r="X25" i="130"/>
  <c r="R25" i="130"/>
  <c r="R3" i="130"/>
  <c r="R11" i="130"/>
  <c r="R15" i="130"/>
  <c r="R13" i="130"/>
  <c r="Q25" i="130"/>
  <c r="F25" i="130"/>
  <c r="D25" i="130"/>
  <c r="X24" i="130"/>
  <c r="W16" i="130"/>
  <c r="W15" i="130"/>
  <c r="W17" i="130"/>
  <c r="S8" i="130"/>
  <c r="W18" i="130"/>
  <c r="U24" i="130"/>
  <c r="T16" i="130"/>
  <c r="T15" i="130"/>
  <c r="T17" i="130"/>
  <c r="S18" i="130"/>
  <c r="S24" i="130"/>
  <c r="F24" i="130"/>
  <c r="D24" i="130"/>
  <c r="X23" i="130"/>
  <c r="F23" i="130"/>
  <c r="D23" i="130"/>
  <c r="X22" i="130"/>
  <c r="F22" i="130"/>
  <c r="D22" i="130"/>
  <c r="X21" i="130"/>
  <c r="Q7" i="130"/>
  <c r="W3" i="130"/>
  <c r="Q21" i="130"/>
  <c r="F21" i="130"/>
  <c r="D21" i="130"/>
  <c r="X20" i="130"/>
  <c r="F20" i="130"/>
  <c r="D20" i="130"/>
  <c r="X19" i="130"/>
  <c r="F19" i="130"/>
  <c r="D19" i="130"/>
  <c r="X18" i="130"/>
  <c r="F18" i="130"/>
  <c r="D18" i="130"/>
  <c r="X17" i="130"/>
  <c r="F17" i="130"/>
  <c r="D17" i="130"/>
  <c r="X16" i="130"/>
  <c r="F16" i="130"/>
  <c r="D16" i="130"/>
  <c r="X15" i="130"/>
  <c r="Q15" i="130"/>
  <c r="F15" i="130"/>
  <c r="D15" i="130"/>
  <c r="X14" i="130"/>
  <c r="F14" i="130"/>
  <c r="D14" i="130"/>
  <c r="X13" i="130"/>
  <c r="Q5" i="130"/>
  <c r="Q3" i="130"/>
  <c r="Q11" i="130"/>
  <c r="Q13" i="130"/>
  <c r="F13" i="130"/>
  <c r="D13" i="130"/>
  <c r="X12" i="130"/>
  <c r="F12" i="130"/>
  <c r="D12" i="130"/>
  <c r="X11" i="130"/>
  <c r="F11" i="130"/>
  <c r="D11" i="130"/>
  <c r="X10" i="130"/>
  <c r="S3" i="130"/>
  <c r="S10" i="130"/>
  <c r="F10" i="130"/>
  <c r="D10" i="130"/>
  <c r="X9" i="130"/>
  <c r="F9" i="130"/>
  <c r="D9" i="130"/>
  <c r="X8" i="130"/>
  <c r="F8" i="130"/>
  <c r="D8" i="130"/>
  <c r="X7" i="130"/>
  <c r="F7" i="130"/>
  <c r="D7" i="130"/>
  <c r="X6" i="130"/>
  <c r="F6" i="130"/>
  <c r="D6" i="130"/>
  <c r="X5" i="130"/>
  <c r="F5" i="130"/>
  <c r="D5" i="130"/>
  <c r="X4" i="130"/>
  <c r="F4" i="130"/>
  <c r="D4" i="130"/>
  <c r="X3" i="130"/>
  <c r="F3" i="130"/>
  <c r="D3" i="130"/>
  <c r="Q17" i="129"/>
  <c r="Q29" i="129"/>
  <c r="S3" i="129"/>
  <c r="V3" i="129"/>
  <c r="U3" i="129"/>
  <c r="E12" i="129"/>
  <c r="E13" i="129"/>
  <c r="E14" i="129"/>
  <c r="E15" i="129"/>
  <c r="E16" i="129"/>
  <c r="E17" i="129"/>
  <c r="E18" i="129"/>
  <c r="E19" i="129"/>
  <c r="E20" i="129"/>
  <c r="E21" i="129"/>
  <c r="E22" i="129"/>
  <c r="E23" i="129"/>
  <c r="E24" i="129"/>
  <c r="E25" i="129"/>
  <c r="E26" i="129"/>
  <c r="E27" i="129"/>
  <c r="E28" i="129"/>
  <c r="E29" i="129"/>
  <c r="E30" i="129"/>
  <c r="E31" i="129"/>
  <c r="E32" i="129"/>
  <c r="E33" i="129"/>
  <c r="Q42" i="129"/>
  <c r="H42" i="129"/>
  <c r="E4" i="129"/>
  <c r="E5" i="129"/>
  <c r="E6" i="129"/>
  <c r="E7" i="129"/>
  <c r="E8" i="129"/>
  <c r="E9" i="129"/>
  <c r="E10" i="129"/>
  <c r="E11" i="129"/>
  <c r="Q41" i="129"/>
  <c r="H41" i="129"/>
  <c r="X36" i="129"/>
  <c r="E36" i="129"/>
  <c r="F36" i="129"/>
  <c r="D36" i="129"/>
  <c r="X35" i="129"/>
  <c r="E35" i="129"/>
  <c r="F35" i="129"/>
  <c r="D35" i="129"/>
  <c r="X34" i="129"/>
  <c r="E34" i="129"/>
  <c r="F34" i="129"/>
  <c r="D34" i="129"/>
  <c r="X33" i="129"/>
  <c r="F33" i="129"/>
  <c r="D33" i="129"/>
  <c r="X32" i="129"/>
  <c r="F32" i="129"/>
  <c r="D32" i="129"/>
  <c r="X31" i="129"/>
  <c r="F31" i="129"/>
  <c r="D31" i="129"/>
  <c r="X30" i="129"/>
  <c r="F30" i="129"/>
  <c r="D30" i="129"/>
  <c r="X29" i="129"/>
  <c r="F29" i="129"/>
  <c r="D29" i="129"/>
  <c r="X28" i="129"/>
  <c r="F28" i="129"/>
  <c r="D28" i="129"/>
  <c r="X27" i="129"/>
  <c r="F27" i="129"/>
  <c r="D27" i="129"/>
  <c r="X26" i="129"/>
  <c r="F26" i="129"/>
  <c r="D26" i="129"/>
  <c r="X25" i="129"/>
  <c r="R25" i="129"/>
  <c r="R3" i="129"/>
  <c r="R11" i="129"/>
  <c r="R15" i="129"/>
  <c r="R13" i="129"/>
  <c r="Q25" i="129"/>
  <c r="F25" i="129"/>
  <c r="D25" i="129"/>
  <c r="X24" i="129"/>
  <c r="W16" i="129"/>
  <c r="W15" i="129"/>
  <c r="W17" i="129"/>
  <c r="S8" i="129"/>
  <c r="W18" i="129"/>
  <c r="U24" i="129"/>
  <c r="T16" i="129"/>
  <c r="T15" i="129"/>
  <c r="T17" i="129"/>
  <c r="S18" i="129"/>
  <c r="S24" i="129"/>
  <c r="F24" i="129"/>
  <c r="D24" i="129"/>
  <c r="X23" i="129"/>
  <c r="F23" i="129"/>
  <c r="D23" i="129"/>
  <c r="X22" i="129"/>
  <c r="F22" i="129"/>
  <c r="D22" i="129"/>
  <c r="X21" i="129"/>
  <c r="Q7" i="129"/>
  <c r="W3" i="129"/>
  <c r="Q21" i="129"/>
  <c r="F21" i="129"/>
  <c r="D21" i="129"/>
  <c r="X20" i="129"/>
  <c r="F20" i="129"/>
  <c r="D20" i="129"/>
  <c r="X19" i="129"/>
  <c r="F19" i="129"/>
  <c r="D19" i="129"/>
  <c r="X18" i="129"/>
  <c r="F18" i="129"/>
  <c r="D18" i="129"/>
  <c r="X17" i="129"/>
  <c r="F17" i="129"/>
  <c r="D17" i="129"/>
  <c r="X16" i="129"/>
  <c r="F16" i="129"/>
  <c r="D16" i="129"/>
  <c r="X15" i="129"/>
  <c r="Q15" i="129"/>
  <c r="F15" i="129"/>
  <c r="D15" i="129"/>
  <c r="X14" i="129"/>
  <c r="F14" i="129"/>
  <c r="D14" i="129"/>
  <c r="X13" i="129"/>
  <c r="Q5" i="129"/>
  <c r="Q3" i="129"/>
  <c r="Q11" i="129"/>
  <c r="Q13" i="129"/>
  <c r="F13" i="129"/>
  <c r="D13" i="129"/>
  <c r="X12" i="129"/>
  <c r="F12" i="129"/>
  <c r="D12" i="129"/>
  <c r="X11" i="129"/>
  <c r="F11" i="129"/>
  <c r="D11" i="129"/>
  <c r="X10" i="129"/>
  <c r="S10" i="129"/>
  <c r="F10" i="129"/>
  <c r="D10" i="129"/>
  <c r="X9" i="129"/>
  <c r="F9" i="129"/>
  <c r="D9" i="129"/>
  <c r="X8" i="129"/>
  <c r="F8" i="129"/>
  <c r="D8" i="129"/>
  <c r="X7" i="129"/>
  <c r="F7" i="129"/>
  <c r="D7" i="129"/>
  <c r="X6" i="129"/>
  <c r="F6" i="129"/>
  <c r="D6" i="129"/>
  <c r="X5" i="129"/>
  <c r="F5" i="129"/>
  <c r="D5" i="129"/>
  <c r="X4" i="129"/>
  <c r="F4" i="129"/>
  <c r="D4" i="129"/>
  <c r="X3" i="129"/>
  <c r="F3" i="129"/>
  <c r="D3" i="129"/>
  <c r="O3" i="125"/>
  <c r="C44" i="128"/>
  <c r="AJ6" i="128"/>
  <c r="AN22" i="125"/>
  <c r="AO22" i="125"/>
  <c r="AD52" i="128"/>
  <c r="AC52" i="128"/>
  <c r="AB52" i="128"/>
  <c r="AA52" i="128"/>
  <c r="Z52" i="128"/>
  <c r="Y52" i="128"/>
  <c r="AD51" i="128"/>
  <c r="AB51" i="128"/>
  <c r="Z51" i="128"/>
  <c r="AD50" i="128"/>
  <c r="AB50" i="128"/>
  <c r="Z50" i="128"/>
  <c r="AD49" i="128"/>
  <c r="AC49" i="128"/>
  <c r="AB49" i="128"/>
  <c r="AA49" i="128"/>
  <c r="Z49" i="128"/>
  <c r="Y49" i="128"/>
  <c r="AD48" i="128"/>
  <c r="AB48" i="128"/>
  <c r="Z48" i="128"/>
  <c r="AD47" i="128"/>
  <c r="AB47" i="128"/>
  <c r="Z47" i="128"/>
  <c r="AD46" i="128"/>
  <c r="AC46" i="128"/>
  <c r="AB46" i="128"/>
  <c r="AA46" i="128"/>
  <c r="Z46" i="128"/>
  <c r="Y46" i="128"/>
  <c r="X46" i="128"/>
  <c r="W46" i="128"/>
  <c r="V46" i="128"/>
  <c r="T46" i="128"/>
  <c r="S46" i="128"/>
  <c r="R46" i="128"/>
  <c r="Q46" i="128"/>
  <c r="AD45" i="128"/>
  <c r="AB45" i="128"/>
  <c r="Z45" i="128"/>
  <c r="X45" i="128"/>
  <c r="V45" i="128"/>
  <c r="T45" i="128"/>
  <c r="R45" i="128"/>
  <c r="AD44" i="128"/>
  <c r="AB44" i="128"/>
  <c r="Z44" i="128"/>
  <c r="L44" i="128"/>
  <c r="K44" i="128"/>
  <c r="H44" i="128"/>
  <c r="D44" i="128"/>
  <c r="A44" i="128"/>
  <c r="AI8" i="128"/>
  <c r="AH9" i="128"/>
  <c r="AI6" i="128"/>
  <c r="AH6" i="128"/>
  <c r="AK3" i="128"/>
  <c r="AJ3" i="128"/>
  <c r="C44" i="125"/>
  <c r="AJ6" i="125"/>
  <c r="AE44" i="125"/>
  <c r="P3" i="125"/>
  <c r="F44" i="125"/>
  <c r="U44" i="125"/>
  <c r="G44" i="125"/>
  <c r="I44" i="125"/>
  <c r="Q44" i="125"/>
  <c r="S44" i="125"/>
  <c r="W44" i="125"/>
  <c r="Y44" i="125"/>
  <c r="AA44" i="125"/>
  <c r="AC44" i="125"/>
  <c r="Y47" i="125"/>
  <c r="Y50" i="125"/>
  <c r="AA47" i="125"/>
  <c r="AA50" i="125"/>
  <c r="AC47" i="125"/>
  <c r="AC50" i="125"/>
  <c r="AK6" i="125"/>
  <c r="AG44" i="125"/>
  <c r="O44" i="125"/>
  <c r="O47" i="125"/>
  <c r="U47" i="125"/>
  <c r="AP9" i="125"/>
  <c r="M45" i="125"/>
  <c r="U48" i="125"/>
  <c r="AG3" i="125"/>
  <c r="AD52" i="125"/>
  <c r="AC52" i="125"/>
  <c r="AB52" i="125"/>
  <c r="AA52" i="125"/>
  <c r="Z52" i="125"/>
  <c r="Y52" i="125"/>
  <c r="AD51" i="125"/>
  <c r="AB51" i="125"/>
  <c r="Z51" i="125"/>
  <c r="AD50" i="125"/>
  <c r="AB50" i="125"/>
  <c r="Z50" i="125"/>
  <c r="AD49" i="125"/>
  <c r="AC49" i="125"/>
  <c r="AB49" i="125"/>
  <c r="AA49" i="125"/>
  <c r="Z49" i="125"/>
  <c r="Y49" i="125"/>
  <c r="AD48" i="125"/>
  <c r="AB48" i="125"/>
  <c r="Z48" i="125"/>
  <c r="AD47" i="125"/>
  <c r="AB47" i="125"/>
  <c r="Z47" i="125"/>
  <c r="AD46" i="125"/>
  <c r="AC46" i="125"/>
  <c r="AB46" i="125"/>
  <c r="AA46" i="125"/>
  <c r="Z46" i="125"/>
  <c r="Y46" i="125"/>
  <c r="X46" i="125"/>
  <c r="W46" i="125"/>
  <c r="V46" i="125"/>
  <c r="T46" i="125"/>
  <c r="S46" i="125"/>
  <c r="R46" i="125"/>
  <c r="Q46" i="125"/>
  <c r="AD45" i="125"/>
  <c r="AB45" i="125"/>
  <c r="Z45" i="125"/>
  <c r="X45" i="125"/>
  <c r="V45" i="125"/>
  <c r="T45" i="125"/>
  <c r="R45" i="125"/>
  <c r="AD44" i="125"/>
  <c r="AB44" i="125"/>
  <c r="Z44" i="125"/>
  <c r="L44" i="125"/>
  <c r="K44" i="125"/>
  <c r="H44" i="125"/>
  <c r="D44" i="125"/>
  <c r="A44" i="125"/>
  <c r="AI8" i="125"/>
  <c r="AH9" i="125"/>
  <c r="AI6" i="125"/>
  <c r="AH6" i="125"/>
  <c r="AK3" i="125"/>
  <c r="AJ3" i="125"/>
  <c r="Q15" i="123"/>
  <c r="Q42" i="123"/>
  <c r="Q41" i="123"/>
  <c r="H34" i="123"/>
  <c r="H33" i="123"/>
  <c r="H32" i="123"/>
  <c r="H31" i="123"/>
  <c r="S51" i="119"/>
  <c r="AG44" i="119"/>
  <c r="F44" i="119"/>
  <c r="G44" i="119"/>
  <c r="I44" i="119"/>
  <c r="M45" i="119"/>
  <c r="S44" i="119"/>
  <c r="W44" i="119"/>
  <c r="Y44" i="119"/>
  <c r="AA44" i="119"/>
  <c r="AC44" i="119"/>
  <c r="Y47" i="119"/>
  <c r="Y50" i="119"/>
  <c r="AA47" i="119"/>
  <c r="AA50" i="119"/>
  <c r="AC47" i="119"/>
  <c r="AC50" i="119"/>
  <c r="U44" i="119"/>
  <c r="AK6" i="119"/>
  <c r="O3" i="119"/>
  <c r="AG45" i="119"/>
  <c r="AH9" i="119"/>
  <c r="E44" i="119"/>
  <c r="S49" i="119"/>
  <c r="T49" i="119"/>
  <c r="AI9" i="119"/>
  <c r="AH10" i="119"/>
  <c r="O8" i="119"/>
  <c r="O44" i="119"/>
  <c r="O47" i="119"/>
  <c r="E12" i="122"/>
  <c r="H38" i="122"/>
  <c r="H13" i="122"/>
  <c r="E13" i="122"/>
  <c r="H14" i="122"/>
  <c r="E14" i="122"/>
  <c r="H15" i="122"/>
  <c r="E15" i="122"/>
  <c r="H37" i="122"/>
  <c r="H16" i="122"/>
  <c r="E16" i="122"/>
  <c r="E17" i="122"/>
  <c r="E18" i="122"/>
  <c r="H19" i="122"/>
  <c r="E19" i="122"/>
  <c r="H20" i="122"/>
  <c r="E20" i="122"/>
  <c r="H21" i="122"/>
  <c r="E21" i="122"/>
  <c r="H22" i="122"/>
  <c r="E22" i="122"/>
  <c r="H23" i="122"/>
  <c r="E23" i="122"/>
  <c r="H24" i="122"/>
  <c r="E24" i="122"/>
  <c r="E25" i="122"/>
  <c r="H26" i="122"/>
  <c r="E26" i="122"/>
  <c r="H27" i="122"/>
  <c r="E27" i="122"/>
  <c r="H28" i="122"/>
  <c r="E28" i="122"/>
  <c r="H29" i="122"/>
  <c r="E29" i="122"/>
  <c r="E30" i="122"/>
  <c r="E31" i="122"/>
  <c r="E32" i="122"/>
  <c r="E33" i="122"/>
  <c r="H34" i="122"/>
  <c r="E34" i="122"/>
  <c r="Q38" i="122"/>
  <c r="Q7" i="122"/>
  <c r="W3" i="122"/>
  <c r="B34" i="122"/>
  <c r="B26" i="122"/>
  <c r="B19" i="122"/>
  <c r="B12" i="122"/>
  <c r="H3" i="122"/>
  <c r="E3" i="122"/>
  <c r="E4" i="122"/>
  <c r="B3" i="122"/>
  <c r="H5" i="122"/>
  <c r="E5" i="122"/>
  <c r="H6" i="122"/>
  <c r="E6" i="122"/>
  <c r="H7" i="122"/>
  <c r="E7" i="122"/>
  <c r="H8" i="122"/>
  <c r="E8" i="122"/>
  <c r="H9" i="122"/>
  <c r="E9" i="122"/>
  <c r="E10" i="122"/>
  <c r="E11" i="122"/>
  <c r="B5" i="122"/>
  <c r="E7" i="123"/>
  <c r="E8" i="123"/>
  <c r="E9" i="123"/>
  <c r="E10" i="123"/>
  <c r="E11" i="123"/>
  <c r="E12" i="123"/>
  <c r="E13" i="123"/>
  <c r="E14" i="123"/>
  <c r="E15" i="123"/>
  <c r="E16" i="123"/>
  <c r="E17" i="123"/>
  <c r="E18" i="123"/>
  <c r="E19" i="123"/>
  <c r="E20" i="123"/>
  <c r="E21" i="123"/>
  <c r="E22" i="123"/>
  <c r="E23" i="123"/>
  <c r="E24" i="123"/>
  <c r="E25" i="123"/>
  <c r="E26" i="123"/>
  <c r="E27" i="123"/>
  <c r="E28" i="123"/>
  <c r="E29" i="123"/>
  <c r="E30" i="123"/>
  <c r="E31" i="123"/>
  <c r="E32" i="123"/>
  <c r="E33" i="123"/>
  <c r="H41" i="123"/>
  <c r="H3" i="123"/>
  <c r="E3" i="123"/>
  <c r="H4" i="123"/>
  <c r="E4" i="123"/>
  <c r="H5" i="123"/>
  <c r="E5" i="123"/>
  <c r="H6" i="123"/>
  <c r="E6" i="123"/>
  <c r="Q3" i="123"/>
  <c r="W3" i="123"/>
  <c r="Q11" i="123"/>
  <c r="Q4" i="119"/>
  <c r="Q5" i="119"/>
  <c r="Q6" i="119"/>
  <c r="Q44" i="119"/>
  <c r="Q47" i="119"/>
  <c r="V3" i="124"/>
  <c r="U3" i="124"/>
  <c r="V3" i="123"/>
  <c r="U3" i="123"/>
  <c r="T3" i="111"/>
  <c r="Q29" i="124"/>
  <c r="Q29" i="123"/>
  <c r="Q29" i="122"/>
  <c r="Q29" i="120"/>
  <c r="H41" i="124"/>
  <c r="E3" i="124"/>
  <c r="E4" i="124"/>
  <c r="E5" i="124"/>
  <c r="E6" i="124"/>
  <c r="E7" i="124"/>
  <c r="E8" i="124"/>
  <c r="E9" i="124"/>
  <c r="E10" i="124"/>
  <c r="E11" i="124"/>
  <c r="Q41" i="124"/>
  <c r="H42" i="124"/>
  <c r="E12" i="124"/>
  <c r="E13" i="124"/>
  <c r="E14" i="124"/>
  <c r="E15" i="124"/>
  <c r="E16" i="124"/>
  <c r="E17" i="124"/>
  <c r="E18" i="124"/>
  <c r="E19" i="124"/>
  <c r="E20" i="124"/>
  <c r="E21" i="124"/>
  <c r="E22" i="124"/>
  <c r="E23" i="124"/>
  <c r="E24" i="124"/>
  <c r="E25" i="124"/>
  <c r="E26" i="124"/>
  <c r="E27" i="124"/>
  <c r="E28" i="124"/>
  <c r="E29" i="124"/>
  <c r="E30" i="124"/>
  <c r="E31" i="124"/>
  <c r="E32" i="124"/>
  <c r="E33" i="124"/>
  <c r="Q42" i="124"/>
  <c r="X3" i="124"/>
  <c r="D3" i="124"/>
  <c r="F3" i="124"/>
  <c r="Q5" i="124"/>
  <c r="Q7" i="124"/>
  <c r="Q3" i="124"/>
  <c r="R3" i="124"/>
  <c r="S3" i="124"/>
  <c r="W3" i="124"/>
  <c r="X4" i="124"/>
  <c r="D4" i="124"/>
  <c r="F4" i="124"/>
  <c r="X5" i="124"/>
  <c r="D5" i="124"/>
  <c r="F5" i="124"/>
  <c r="X6" i="124"/>
  <c r="D6" i="124"/>
  <c r="F6" i="124"/>
  <c r="X7" i="124"/>
  <c r="D7" i="124"/>
  <c r="F7" i="124"/>
  <c r="X8" i="124"/>
  <c r="D8" i="124"/>
  <c r="F8" i="124"/>
  <c r="S8" i="124"/>
  <c r="X9" i="124"/>
  <c r="D9" i="124"/>
  <c r="F9" i="124"/>
  <c r="X10" i="124"/>
  <c r="D10" i="124"/>
  <c r="F10" i="124"/>
  <c r="S10" i="124"/>
  <c r="X11" i="124"/>
  <c r="D11" i="124"/>
  <c r="F11" i="124"/>
  <c r="Q11" i="124"/>
  <c r="R11" i="124"/>
  <c r="X12" i="124"/>
  <c r="D12" i="124"/>
  <c r="F12" i="124"/>
  <c r="X13" i="124"/>
  <c r="D13" i="124"/>
  <c r="F13" i="124"/>
  <c r="Q21" i="124"/>
  <c r="Q17" i="124"/>
  <c r="Q15" i="124"/>
  <c r="R25" i="124"/>
  <c r="Q13" i="124"/>
  <c r="R15" i="124"/>
  <c r="R13" i="124"/>
  <c r="X14" i="124"/>
  <c r="D14" i="124"/>
  <c r="F14" i="124"/>
  <c r="X15" i="124"/>
  <c r="D15" i="124"/>
  <c r="F15" i="124"/>
  <c r="T15" i="124"/>
  <c r="W15" i="124"/>
  <c r="X16" i="124"/>
  <c r="D16" i="124"/>
  <c r="F16" i="124"/>
  <c r="T16" i="124"/>
  <c r="W16" i="124"/>
  <c r="X17" i="124"/>
  <c r="D17" i="124"/>
  <c r="F17" i="124"/>
  <c r="T17" i="124"/>
  <c r="W17" i="124"/>
  <c r="X18" i="124"/>
  <c r="D18" i="124"/>
  <c r="F18" i="124"/>
  <c r="S18" i="124"/>
  <c r="W18" i="124"/>
  <c r="X19" i="124"/>
  <c r="D19" i="124"/>
  <c r="F19" i="124"/>
  <c r="X20" i="124"/>
  <c r="D20" i="124"/>
  <c r="F20" i="124"/>
  <c r="X21" i="124"/>
  <c r="D21" i="124"/>
  <c r="F21" i="124"/>
  <c r="X22" i="124"/>
  <c r="D22" i="124"/>
  <c r="F22" i="124"/>
  <c r="X23" i="124"/>
  <c r="D23" i="124"/>
  <c r="F23" i="124"/>
  <c r="X24" i="124"/>
  <c r="D24" i="124"/>
  <c r="F24" i="124"/>
  <c r="S24" i="124"/>
  <c r="U24" i="124"/>
  <c r="X25" i="124"/>
  <c r="D25" i="124"/>
  <c r="F25" i="124"/>
  <c r="Q25" i="124"/>
  <c r="X26" i="124"/>
  <c r="D26" i="124"/>
  <c r="F26" i="124"/>
  <c r="X27" i="124"/>
  <c r="D27" i="124"/>
  <c r="F27" i="124"/>
  <c r="X28" i="124"/>
  <c r="D28" i="124"/>
  <c r="F28" i="124"/>
  <c r="X29" i="124"/>
  <c r="D29" i="124"/>
  <c r="F29" i="124"/>
  <c r="X30" i="124"/>
  <c r="D30" i="124"/>
  <c r="F30" i="124"/>
  <c r="X31" i="124"/>
  <c r="D31" i="124"/>
  <c r="F31" i="124"/>
  <c r="X32" i="124"/>
  <c r="D32" i="124"/>
  <c r="F32" i="124"/>
  <c r="X33" i="124"/>
  <c r="D33" i="124"/>
  <c r="F33" i="124"/>
  <c r="X34" i="124"/>
  <c r="D34" i="124"/>
  <c r="E34" i="124"/>
  <c r="F34" i="124"/>
  <c r="X35" i="124"/>
  <c r="D35" i="124"/>
  <c r="E35" i="124"/>
  <c r="F35" i="124"/>
  <c r="X36" i="124"/>
  <c r="D36" i="124"/>
  <c r="E36" i="124"/>
  <c r="F36" i="124"/>
  <c r="H42" i="123"/>
  <c r="X3" i="123"/>
  <c r="D3" i="123"/>
  <c r="F3" i="123"/>
  <c r="R3" i="123"/>
  <c r="S3" i="123"/>
  <c r="X4" i="123"/>
  <c r="D4" i="123"/>
  <c r="F4" i="123"/>
  <c r="X5" i="123"/>
  <c r="D5" i="123"/>
  <c r="F5" i="123"/>
  <c r="X6" i="123"/>
  <c r="D6" i="123"/>
  <c r="F6" i="123"/>
  <c r="X7" i="123"/>
  <c r="D7" i="123"/>
  <c r="F7" i="123"/>
  <c r="X8" i="123"/>
  <c r="D8" i="123"/>
  <c r="F8" i="123"/>
  <c r="S8" i="123"/>
  <c r="X9" i="123"/>
  <c r="D9" i="123"/>
  <c r="F9" i="123"/>
  <c r="X10" i="123"/>
  <c r="D10" i="123"/>
  <c r="F10" i="123"/>
  <c r="S10" i="123"/>
  <c r="X11" i="123"/>
  <c r="D11" i="123"/>
  <c r="F11" i="123"/>
  <c r="R11" i="123"/>
  <c r="X12" i="123"/>
  <c r="D12" i="123"/>
  <c r="F12" i="123"/>
  <c r="X13" i="123"/>
  <c r="D13" i="123"/>
  <c r="F13" i="123"/>
  <c r="Q17" i="123"/>
  <c r="R25" i="123"/>
  <c r="Q13" i="123"/>
  <c r="R15" i="123"/>
  <c r="R13" i="123"/>
  <c r="X14" i="123"/>
  <c r="D14" i="123"/>
  <c r="F14" i="123"/>
  <c r="X15" i="123"/>
  <c r="D15" i="123"/>
  <c r="F15" i="123"/>
  <c r="T15" i="123"/>
  <c r="W15" i="123"/>
  <c r="X16" i="123"/>
  <c r="D16" i="123"/>
  <c r="F16" i="123"/>
  <c r="T16" i="123"/>
  <c r="W16" i="123"/>
  <c r="X17" i="123"/>
  <c r="D17" i="123"/>
  <c r="F17" i="123"/>
  <c r="T17" i="123"/>
  <c r="W17" i="123"/>
  <c r="X18" i="123"/>
  <c r="D18" i="123"/>
  <c r="F18" i="123"/>
  <c r="S18" i="123"/>
  <c r="W18" i="123"/>
  <c r="X19" i="123"/>
  <c r="D19" i="123"/>
  <c r="F19" i="123"/>
  <c r="X20" i="123"/>
  <c r="D20" i="123"/>
  <c r="F20" i="123"/>
  <c r="X21" i="123"/>
  <c r="D21" i="123"/>
  <c r="F21" i="123"/>
  <c r="X22" i="123"/>
  <c r="D22" i="123"/>
  <c r="F22" i="123"/>
  <c r="X23" i="123"/>
  <c r="D23" i="123"/>
  <c r="F23" i="123"/>
  <c r="X24" i="123"/>
  <c r="D24" i="123"/>
  <c r="F24" i="123"/>
  <c r="S24" i="123"/>
  <c r="U24" i="123"/>
  <c r="X25" i="123"/>
  <c r="D25" i="123"/>
  <c r="F25" i="123"/>
  <c r="Q25" i="123"/>
  <c r="X26" i="123"/>
  <c r="D26" i="123"/>
  <c r="F26" i="123"/>
  <c r="X27" i="123"/>
  <c r="D27" i="123"/>
  <c r="F27" i="123"/>
  <c r="X28" i="123"/>
  <c r="D28" i="123"/>
  <c r="F28" i="123"/>
  <c r="X29" i="123"/>
  <c r="D29" i="123"/>
  <c r="F29" i="123"/>
  <c r="X30" i="123"/>
  <c r="D30" i="123"/>
  <c r="F30" i="123"/>
  <c r="X31" i="123"/>
  <c r="D31" i="123"/>
  <c r="F31" i="123"/>
  <c r="X32" i="123"/>
  <c r="D32" i="123"/>
  <c r="F32" i="123"/>
  <c r="X33" i="123"/>
  <c r="D33" i="123"/>
  <c r="F33" i="123"/>
  <c r="X34" i="123"/>
  <c r="D34" i="123"/>
  <c r="E34" i="123"/>
  <c r="F34" i="123"/>
  <c r="X35" i="123"/>
  <c r="D35" i="123"/>
  <c r="E35" i="123"/>
  <c r="F35" i="123"/>
  <c r="X36" i="123"/>
  <c r="D36" i="123"/>
  <c r="E36" i="123"/>
  <c r="F36" i="123"/>
  <c r="Q21" i="122"/>
  <c r="Q37" i="122"/>
  <c r="Q5" i="122"/>
  <c r="Q3" i="122"/>
  <c r="Q11" i="122"/>
  <c r="AE46" i="119"/>
  <c r="AE44" i="119"/>
  <c r="Q48" i="119"/>
  <c r="P4" i="119"/>
  <c r="AE45" i="119"/>
  <c r="AF45" i="119"/>
  <c r="D44" i="119"/>
  <c r="H44" i="119"/>
  <c r="K44" i="119"/>
  <c r="N45" i="119"/>
  <c r="AI6" i="119"/>
  <c r="AK3" i="119"/>
  <c r="U3" i="122"/>
  <c r="V3" i="122"/>
  <c r="X36" i="122"/>
  <c r="E36" i="122"/>
  <c r="F36" i="122"/>
  <c r="D36" i="122"/>
  <c r="X35" i="122"/>
  <c r="E35" i="122"/>
  <c r="F35" i="122"/>
  <c r="D35" i="122"/>
  <c r="X34" i="122"/>
  <c r="F34" i="122"/>
  <c r="D34" i="122"/>
  <c r="X33" i="122"/>
  <c r="F33" i="122"/>
  <c r="D33" i="122"/>
  <c r="X32" i="122"/>
  <c r="F32" i="122"/>
  <c r="D32" i="122"/>
  <c r="X31" i="122"/>
  <c r="F31" i="122"/>
  <c r="D31" i="122"/>
  <c r="X30" i="122"/>
  <c r="F30" i="122"/>
  <c r="D30" i="122"/>
  <c r="X29" i="122"/>
  <c r="F29" i="122"/>
  <c r="D29" i="122"/>
  <c r="X28" i="122"/>
  <c r="F28" i="122"/>
  <c r="D28" i="122"/>
  <c r="X27" i="122"/>
  <c r="F27" i="122"/>
  <c r="D27" i="122"/>
  <c r="X26" i="122"/>
  <c r="F26" i="122"/>
  <c r="D26" i="122"/>
  <c r="X25" i="122"/>
  <c r="R25" i="122"/>
  <c r="R3" i="122"/>
  <c r="R11" i="122"/>
  <c r="R15" i="122"/>
  <c r="R13" i="122"/>
  <c r="Q25" i="122"/>
  <c r="F25" i="122"/>
  <c r="D25" i="122"/>
  <c r="X24" i="122"/>
  <c r="W16" i="122"/>
  <c r="W15" i="122"/>
  <c r="W17" i="122"/>
  <c r="S8" i="122"/>
  <c r="W18" i="122"/>
  <c r="U24" i="122"/>
  <c r="T16" i="122"/>
  <c r="T15" i="122"/>
  <c r="T17" i="122"/>
  <c r="S18" i="122"/>
  <c r="S24" i="122"/>
  <c r="F24" i="122"/>
  <c r="D24" i="122"/>
  <c r="X23" i="122"/>
  <c r="F23" i="122"/>
  <c r="D23" i="122"/>
  <c r="X22" i="122"/>
  <c r="F22" i="122"/>
  <c r="D22" i="122"/>
  <c r="X21" i="122"/>
  <c r="F21" i="122"/>
  <c r="D21" i="122"/>
  <c r="X20" i="122"/>
  <c r="F20" i="122"/>
  <c r="D20" i="122"/>
  <c r="X19" i="122"/>
  <c r="F19" i="122"/>
  <c r="D19" i="122"/>
  <c r="X18" i="122"/>
  <c r="F18" i="122"/>
  <c r="D18" i="122"/>
  <c r="X17" i="122"/>
  <c r="Q17" i="122"/>
  <c r="F17" i="122"/>
  <c r="D17" i="122"/>
  <c r="X16" i="122"/>
  <c r="F16" i="122"/>
  <c r="D16" i="122"/>
  <c r="X15" i="122"/>
  <c r="Q15" i="122"/>
  <c r="F15" i="122"/>
  <c r="D15" i="122"/>
  <c r="X14" i="122"/>
  <c r="F14" i="122"/>
  <c r="D14" i="122"/>
  <c r="X13" i="122"/>
  <c r="Q13" i="122"/>
  <c r="F13" i="122"/>
  <c r="D13" i="122"/>
  <c r="X12" i="122"/>
  <c r="F12" i="122"/>
  <c r="D12" i="122"/>
  <c r="X11" i="122"/>
  <c r="F11" i="122"/>
  <c r="D11" i="122"/>
  <c r="X10" i="122"/>
  <c r="S3" i="122"/>
  <c r="S10" i="122"/>
  <c r="F10" i="122"/>
  <c r="D10" i="122"/>
  <c r="X9" i="122"/>
  <c r="F9" i="122"/>
  <c r="D9" i="122"/>
  <c r="X8" i="122"/>
  <c r="F8" i="122"/>
  <c r="D8" i="122"/>
  <c r="X7" i="122"/>
  <c r="F7" i="122"/>
  <c r="D7" i="122"/>
  <c r="X6" i="122"/>
  <c r="F6" i="122"/>
  <c r="D6" i="122"/>
  <c r="X5" i="122"/>
  <c r="F5" i="122"/>
  <c r="D5" i="122"/>
  <c r="X4" i="122"/>
  <c r="F4" i="122"/>
  <c r="D4" i="122"/>
  <c r="X3" i="122"/>
  <c r="F3" i="122"/>
  <c r="D3" i="122"/>
  <c r="Q51" i="121"/>
  <c r="H33" i="121"/>
  <c r="Q52" i="121"/>
  <c r="H32" i="121"/>
  <c r="H30" i="121"/>
  <c r="V3" i="121"/>
  <c r="V3" i="120"/>
  <c r="U3" i="120"/>
  <c r="H31" i="121"/>
  <c r="U3" i="121"/>
  <c r="Q29" i="121"/>
  <c r="R3" i="121"/>
  <c r="R11" i="121"/>
  <c r="E30" i="121"/>
  <c r="E31" i="121"/>
  <c r="E32" i="121"/>
  <c r="E3" i="121"/>
  <c r="E4" i="121"/>
  <c r="E5" i="121"/>
  <c r="E6" i="121"/>
  <c r="E7" i="121"/>
  <c r="E8" i="121"/>
  <c r="E9" i="121"/>
  <c r="E10" i="121"/>
  <c r="E11" i="121"/>
  <c r="E12" i="121"/>
  <c r="E13" i="121"/>
  <c r="E14" i="121"/>
  <c r="E15" i="121"/>
  <c r="E16" i="121"/>
  <c r="E17" i="121"/>
  <c r="E18" i="121"/>
  <c r="E19" i="121"/>
  <c r="E20" i="121"/>
  <c r="E21" i="121"/>
  <c r="E22" i="121"/>
  <c r="E23" i="121"/>
  <c r="E24" i="121"/>
  <c r="E25" i="121"/>
  <c r="E26" i="121"/>
  <c r="E27" i="121"/>
  <c r="H28" i="121"/>
  <c r="E28" i="121"/>
  <c r="H29" i="121"/>
  <c r="E29" i="121"/>
  <c r="Q41" i="121"/>
  <c r="Q5" i="121"/>
  <c r="Q7" i="121"/>
  <c r="Q3" i="121"/>
  <c r="W3" i="121"/>
  <c r="Q11" i="121"/>
  <c r="Q17" i="121"/>
  <c r="X36" i="121"/>
  <c r="E36" i="121"/>
  <c r="F36" i="121"/>
  <c r="D36" i="121"/>
  <c r="X35" i="121"/>
  <c r="E35" i="121"/>
  <c r="F35" i="121"/>
  <c r="D35" i="121"/>
  <c r="X34" i="121"/>
  <c r="E34" i="121"/>
  <c r="F34" i="121"/>
  <c r="D34" i="121"/>
  <c r="X33" i="121"/>
  <c r="E33" i="121"/>
  <c r="F33" i="121"/>
  <c r="D33" i="121"/>
  <c r="X32" i="121"/>
  <c r="F32" i="121"/>
  <c r="D32" i="121"/>
  <c r="X31" i="121"/>
  <c r="F31" i="121"/>
  <c r="D31" i="121"/>
  <c r="X30" i="121"/>
  <c r="F30" i="121"/>
  <c r="D30" i="121"/>
  <c r="X29" i="121"/>
  <c r="F29" i="121"/>
  <c r="D29" i="121"/>
  <c r="X28" i="121"/>
  <c r="F28" i="121"/>
  <c r="D28" i="121"/>
  <c r="X27" i="121"/>
  <c r="F27" i="121"/>
  <c r="D27" i="121"/>
  <c r="X26" i="121"/>
  <c r="F26" i="121"/>
  <c r="D26" i="121"/>
  <c r="X25" i="121"/>
  <c r="R25" i="121"/>
  <c r="R15" i="121"/>
  <c r="R13" i="121"/>
  <c r="Q25" i="121"/>
  <c r="F25" i="121"/>
  <c r="D25" i="121"/>
  <c r="X24" i="121"/>
  <c r="W16" i="121"/>
  <c r="W15" i="121"/>
  <c r="W17" i="121"/>
  <c r="S8" i="121"/>
  <c r="W18" i="121"/>
  <c r="U24" i="121"/>
  <c r="T16" i="121"/>
  <c r="T15" i="121"/>
  <c r="T17" i="121"/>
  <c r="S18" i="121"/>
  <c r="S24" i="121"/>
  <c r="F24" i="121"/>
  <c r="D24" i="121"/>
  <c r="X23" i="121"/>
  <c r="F23" i="121"/>
  <c r="D23" i="121"/>
  <c r="X22" i="121"/>
  <c r="F22" i="121"/>
  <c r="D22" i="121"/>
  <c r="X21" i="121"/>
  <c r="F21" i="121"/>
  <c r="D21" i="121"/>
  <c r="X20" i="121"/>
  <c r="F20" i="121"/>
  <c r="D20" i="121"/>
  <c r="X19" i="121"/>
  <c r="F19" i="121"/>
  <c r="D19" i="121"/>
  <c r="X18" i="121"/>
  <c r="F18" i="121"/>
  <c r="D18" i="121"/>
  <c r="X17" i="121"/>
  <c r="F17" i="121"/>
  <c r="D17" i="121"/>
  <c r="X16" i="121"/>
  <c r="F16" i="121"/>
  <c r="D16" i="121"/>
  <c r="X15" i="121"/>
  <c r="Q15" i="121"/>
  <c r="F15" i="121"/>
  <c r="D15" i="121"/>
  <c r="X14" i="121"/>
  <c r="F14" i="121"/>
  <c r="D14" i="121"/>
  <c r="X13" i="121"/>
  <c r="Q13" i="121"/>
  <c r="F13" i="121"/>
  <c r="D13" i="121"/>
  <c r="X12" i="121"/>
  <c r="F12" i="121"/>
  <c r="D12" i="121"/>
  <c r="X11" i="121"/>
  <c r="F11" i="121"/>
  <c r="D11" i="121"/>
  <c r="X10" i="121"/>
  <c r="S3" i="121"/>
  <c r="S10" i="121" s="1"/>
  <c r="F10" i="121"/>
  <c r="D10" i="121"/>
  <c r="X9" i="121"/>
  <c r="F9" i="121"/>
  <c r="D9" i="121"/>
  <c r="X8" i="121"/>
  <c r="F8" i="121"/>
  <c r="D8" i="121"/>
  <c r="X7" i="121"/>
  <c r="F7" i="121"/>
  <c r="D7" i="121"/>
  <c r="X6" i="121"/>
  <c r="F6" i="121"/>
  <c r="D6" i="121"/>
  <c r="X5" i="121"/>
  <c r="F5" i="121"/>
  <c r="D5" i="121"/>
  <c r="X4" i="121"/>
  <c r="F4" i="121"/>
  <c r="D4" i="121"/>
  <c r="X3" i="121"/>
  <c r="F3" i="121"/>
  <c r="D3" i="121"/>
  <c r="Q52" i="120"/>
  <c r="Q51" i="120"/>
  <c r="E3" i="120"/>
  <c r="E4" i="120"/>
  <c r="E5" i="120"/>
  <c r="E6" i="120"/>
  <c r="E7" i="120"/>
  <c r="E8" i="120"/>
  <c r="E9" i="120"/>
  <c r="E10" i="120"/>
  <c r="E11" i="120"/>
  <c r="E12" i="120"/>
  <c r="E13" i="120"/>
  <c r="E14" i="120"/>
  <c r="E15" i="120"/>
  <c r="E16" i="120"/>
  <c r="E17" i="120"/>
  <c r="E18" i="120"/>
  <c r="E19" i="120"/>
  <c r="E20" i="120"/>
  <c r="H21" i="120"/>
  <c r="E21" i="120"/>
  <c r="H22" i="120"/>
  <c r="E22" i="120"/>
  <c r="H23" i="120"/>
  <c r="E23" i="120"/>
  <c r="E24" i="120"/>
  <c r="E25" i="120"/>
  <c r="E26" i="120"/>
  <c r="E27" i="120"/>
  <c r="E28" i="120"/>
  <c r="E29" i="120"/>
  <c r="E30" i="120"/>
  <c r="E31" i="120"/>
  <c r="E32" i="120"/>
  <c r="Q41" i="120"/>
  <c r="X36" i="120"/>
  <c r="E36" i="120"/>
  <c r="F36" i="120"/>
  <c r="D36" i="120"/>
  <c r="X35" i="120"/>
  <c r="E35" i="120"/>
  <c r="F35" i="120"/>
  <c r="D35" i="120"/>
  <c r="X34" i="120"/>
  <c r="E34" i="120"/>
  <c r="F34" i="120"/>
  <c r="D34" i="120"/>
  <c r="X33" i="120"/>
  <c r="E33" i="120"/>
  <c r="F33" i="120"/>
  <c r="D33" i="120"/>
  <c r="X32" i="120"/>
  <c r="F32" i="120"/>
  <c r="D32" i="120"/>
  <c r="X31" i="120"/>
  <c r="F31" i="120"/>
  <c r="D31" i="120"/>
  <c r="X30" i="120"/>
  <c r="F30" i="120"/>
  <c r="D30" i="120"/>
  <c r="X29" i="120"/>
  <c r="F29" i="120"/>
  <c r="D29" i="120"/>
  <c r="X28" i="120"/>
  <c r="F28" i="120"/>
  <c r="D28" i="120"/>
  <c r="X27" i="120"/>
  <c r="F27" i="120"/>
  <c r="D27" i="120"/>
  <c r="X26" i="120"/>
  <c r="F26" i="120"/>
  <c r="D26" i="120"/>
  <c r="X25" i="120"/>
  <c r="R25" i="120"/>
  <c r="R3" i="120"/>
  <c r="R11" i="120"/>
  <c r="R15" i="120"/>
  <c r="R13" i="120"/>
  <c r="Q25" i="120"/>
  <c r="F25" i="120"/>
  <c r="D25" i="120"/>
  <c r="X24" i="120"/>
  <c r="W16" i="120"/>
  <c r="W15" i="120"/>
  <c r="W17" i="120"/>
  <c r="S8" i="120"/>
  <c r="W18" i="120"/>
  <c r="U24" i="120"/>
  <c r="T16" i="120"/>
  <c r="T15" i="120"/>
  <c r="T17" i="120"/>
  <c r="S18" i="120"/>
  <c r="S24" i="120"/>
  <c r="F24" i="120"/>
  <c r="D24" i="120"/>
  <c r="X23" i="120"/>
  <c r="F23" i="120"/>
  <c r="D23" i="120"/>
  <c r="X22" i="120"/>
  <c r="F22" i="120"/>
  <c r="D22" i="120"/>
  <c r="X21" i="120"/>
  <c r="F21" i="120"/>
  <c r="D21" i="120"/>
  <c r="X20" i="120"/>
  <c r="F20" i="120"/>
  <c r="D20" i="120"/>
  <c r="X19" i="120"/>
  <c r="F19" i="120"/>
  <c r="D19" i="120"/>
  <c r="X18" i="120"/>
  <c r="F18" i="120"/>
  <c r="D18" i="120"/>
  <c r="X17" i="120"/>
  <c r="Q17" i="120"/>
  <c r="F17" i="120"/>
  <c r="D17" i="120"/>
  <c r="X16" i="120"/>
  <c r="F16" i="120"/>
  <c r="D16" i="120"/>
  <c r="X15" i="120"/>
  <c r="Q15" i="120"/>
  <c r="F15" i="120"/>
  <c r="D15" i="120"/>
  <c r="X14" i="120"/>
  <c r="F14" i="120"/>
  <c r="D14" i="120"/>
  <c r="X13" i="120"/>
  <c r="Q5" i="120"/>
  <c r="Q7" i="120"/>
  <c r="Q3" i="120"/>
  <c r="W3" i="120"/>
  <c r="Q11" i="120"/>
  <c r="Q13" i="120"/>
  <c r="F13" i="120"/>
  <c r="D13" i="120"/>
  <c r="X12" i="120"/>
  <c r="F12" i="120"/>
  <c r="D12" i="120"/>
  <c r="X11" i="120"/>
  <c r="F11" i="120"/>
  <c r="D11" i="120"/>
  <c r="X10" i="120"/>
  <c r="S3" i="120"/>
  <c r="S10" i="120"/>
  <c r="F10" i="120"/>
  <c r="D10" i="120"/>
  <c r="X9" i="120"/>
  <c r="F9" i="120"/>
  <c r="D9" i="120"/>
  <c r="X8" i="120"/>
  <c r="F8" i="120"/>
  <c r="D8" i="120"/>
  <c r="X7" i="120"/>
  <c r="F7" i="120"/>
  <c r="D7" i="120"/>
  <c r="X6" i="120"/>
  <c r="F6" i="120"/>
  <c r="D6" i="120"/>
  <c r="X5" i="120"/>
  <c r="F5" i="120"/>
  <c r="D5" i="120"/>
  <c r="X4" i="120"/>
  <c r="F4" i="120"/>
  <c r="D4" i="120"/>
  <c r="X3" i="120"/>
  <c r="F3" i="120"/>
  <c r="D3" i="120"/>
  <c r="AD52" i="119"/>
  <c r="AC52" i="119"/>
  <c r="AB52" i="119"/>
  <c r="AA52" i="119"/>
  <c r="Z52" i="119"/>
  <c r="Y52" i="119"/>
  <c r="AD51" i="119"/>
  <c r="AB51" i="119"/>
  <c r="Z51" i="119"/>
  <c r="AD50" i="119"/>
  <c r="AB50" i="119"/>
  <c r="Z50" i="119"/>
  <c r="AD49" i="119"/>
  <c r="AC49" i="119"/>
  <c r="AB49" i="119"/>
  <c r="AA49" i="119"/>
  <c r="Z49" i="119"/>
  <c r="Y49" i="119"/>
  <c r="AD48" i="119"/>
  <c r="AB48" i="119"/>
  <c r="Z48" i="119"/>
  <c r="AD47" i="119"/>
  <c r="AB47" i="119"/>
  <c r="Z47" i="119"/>
  <c r="AD46" i="119"/>
  <c r="AC46" i="119"/>
  <c r="AB46" i="119"/>
  <c r="AA46" i="119"/>
  <c r="Z46" i="119"/>
  <c r="Y46" i="119"/>
  <c r="X46" i="119"/>
  <c r="W46" i="119"/>
  <c r="V46" i="119"/>
  <c r="U46" i="119"/>
  <c r="T46" i="119"/>
  <c r="S46" i="119"/>
  <c r="R46" i="119"/>
  <c r="AD45" i="119"/>
  <c r="AB45" i="119"/>
  <c r="Z45" i="119"/>
  <c r="X45" i="119"/>
  <c r="V45" i="119"/>
  <c r="T45" i="119"/>
  <c r="R45" i="119"/>
  <c r="AD44" i="119"/>
  <c r="AB44" i="119"/>
  <c r="Z44" i="119"/>
  <c r="L44" i="119"/>
  <c r="C44" i="119"/>
  <c r="A44" i="119"/>
  <c r="AJ6" i="119"/>
  <c r="AH6" i="119"/>
  <c r="AJ3" i="119"/>
  <c r="U46" i="118"/>
  <c r="U44" i="118"/>
  <c r="R45" i="118"/>
  <c r="Q44" i="118"/>
  <c r="AD52" i="118"/>
  <c r="AC50" i="118"/>
  <c r="AC52" i="118"/>
  <c r="AB52" i="118"/>
  <c r="AA50" i="118"/>
  <c r="AA52" i="118"/>
  <c r="Z52" i="118"/>
  <c r="Y50" i="118"/>
  <c r="Y52" i="118"/>
  <c r="AD51" i="118"/>
  <c r="AB51" i="118"/>
  <c r="Z51" i="118"/>
  <c r="AD50" i="118"/>
  <c r="AB50" i="118"/>
  <c r="Z50" i="118"/>
  <c r="AD49" i="118"/>
  <c r="AC47" i="118"/>
  <c r="AC49" i="118"/>
  <c r="AB49" i="118"/>
  <c r="AA47" i="118"/>
  <c r="AA49" i="118"/>
  <c r="Z49" i="118"/>
  <c r="Y47" i="118"/>
  <c r="Y49" i="118"/>
  <c r="AD48" i="118"/>
  <c r="AB48" i="118"/>
  <c r="Z48" i="118"/>
  <c r="AD47" i="118"/>
  <c r="AB47" i="118"/>
  <c r="Z47" i="118"/>
  <c r="AD46" i="118"/>
  <c r="AC44" i="118"/>
  <c r="AC46" i="118"/>
  <c r="AB46" i="118"/>
  <c r="AA44" i="118"/>
  <c r="AA46" i="118"/>
  <c r="Z46" i="118"/>
  <c r="Y44" i="118"/>
  <c r="Y46" i="118"/>
  <c r="X46" i="118"/>
  <c r="W44" i="118"/>
  <c r="W46" i="118"/>
  <c r="V46" i="118"/>
  <c r="T46" i="118"/>
  <c r="S44" i="118"/>
  <c r="S46" i="118"/>
  <c r="R46" i="118"/>
  <c r="Q46" i="118"/>
  <c r="AD45" i="118"/>
  <c r="AB45" i="118"/>
  <c r="Z45" i="118"/>
  <c r="X45" i="118"/>
  <c r="V45" i="118"/>
  <c r="T45" i="118"/>
  <c r="N45" i="118"/>
  <c r="M45" i="118"/>
  <c r="AG44" i="118"/>
  <c r="AE44" i="118"/>
  <c r="AD44" i="118"/>
  <c r="AB44" i="118"/>
  <c r="Z44" i="118"/>
  <c r="F44" i="118"/>
  <c r="G44" i="118"/>
  <c r="I44" i="118"/>
  <c r="AK6" i="118"/>
  <c r="O3" i="118"/>
  <c r="O44" i="118"/>
  <c r="L44" i="118"/>
  <c r="K44" i="118"/>
  <c r="H44" i="118"/>
  <c r="D44" i="118"/>
  <c r="C44" i="118"/>
  <c r="A44" i="118"/>
  <c r="AI8" i="118"/>
  <c r="AH9" i="118"/>
  <c r="AJ6" i="118"/>
  <c r="AI6" i="118"/>
  <c r="AH6" i="118"/>
  <c r="AK3" i="118"/>
  <c r="AJ3" i="118"/>
  <c r="AD52" i="117"/>
  <c r="AC50" i="117"/>
  <c r="AC52" i="117"/>
  <c r="AB52" i="117"/>
  <c r="AA50" i="117"/>
  <c r="AA52" i="117"/>
  <c r="Z52" i="117"/>
  <c r="Y50" i="117"/>
  <c r="Y52" i="117"/>
  <c r="AD51" i="117"/>
  <c r="AB51" i="117"/>
  <c r="Z51" i="117"/>
  <c r="AD50" i="117"/>
  <c r="AB50" i="117"/>
  <c r="Z50" i="117"/>
  <c r="AD49" i="117"/>
  <c r="AC47" i="117"/>
  <c r="AC49" i="117"/>
  <c r="AB49" i="117"/>
  <c r="AA47" i="117"/>
  <c r="AA49" i="117"/>
  <c r="Z49" i="117"/>
  <c r="Y47" i="117"/>
  <c r="Y49" i="117"/>
  <c r="AD48" i="117"/>
  <c r="AB48" i="117"/>
  <c r="Z48" i="117"/>
  <c r="AD47" i="117"/>
  <c r="AB47" i="117"/>
  <c r="Z47" i="117"/>
  <c r="AD46" i="117"/>
  <c r="AC44" i="117"/>
  <c r="AC46" i="117"/>
  <c r="AB46" i="117"/>
  <c r="AA44" i="117"/>
  <c r="AA46" i="117"/>
  <c r="Z46" i="117"/>
  <c r="Y44" i="117"/>
  <c r="Y46" i="117"/>
  <c r="X46" i="117"/>
  <c r="W44" i="117"/>
  <c r="W46" i="117"/>
  <c r="V46" i="117"/>
  <c r="U44" i="117"/>
  <c r="U46" i="117"/>
  <c r="T46" i="117"/>
  <c r="S44" i="117"/>
  <c r="S46" i="117"/>
  <c r="R46" i="117"/>
  <c r="Q44" i="117"/>
  <c r="Q46" i="117"/>
  <c r="AD45" i="117"/>
  <c r="AB45" i="117"/>
  <c r="Z45" i="117"/>
  <c r="X45" i="117"/>
  <c r="V45" i="117"/>
  <c r="T45" i="117"/>
  <c r="R45" i="117"/>
  <c r="N45" i="117"/>
  <c r="M45" i="117"/>
  <c r="AG3" i="117"/>
  <c r="AG44" i="117"/>
  <c r="AE44" i="117"/>
  <c r="AD44" i="117"/>
  <c r="AB44" i="117"/>
  <c r="Z44" i="117"/>
  <c r="F44" i="117"/>
  <c r="G44" i="117"/>
  <c r="I44" i="117"/>
  <c r="AK6" i="117"/>
  <c r="O3" i="117"/>
  <c r="O44" i="117"/>
  <c r="L44" i="117"/>
  <c r="K44" i="117"/>
  <c r="H44" i="117"/>
  <c r="D44" i="117"/>
  <c r="C44" i="117"/>
  <c r="A44" i="117"/>
  <c r="AI8" i="117"/>
  <c r="AH9" i="117"/>
  <c r="AJ6" i="117"/>
  <c r="AI6" i="117"/>
  <c r="AH6" i="117"/>
  <c r="AK3" i="117"/>
  <c r="AJ3" i="117"/>
  <c r="Q44" i="114"/>
  <c r="S44" i="114"/>
  <c r="U44" i="114"/>
  <c r="I44" i="114"/>
  <c r="AK6" i="114"/>
  <c r="O3" i="114"/>
  <c r="O44" i="114"/>
  <c r="Q17" i="113"/>
  <c r="Q52" i="113"/>
  <c r="H21" i="113"/>
  <c r="H22" i="113"/>
  <c r="H23" i="113"/>
  <c r="R15" i="109"/>
  <c r="P16" i="108"/>
  <c r="O16" i="108"/>
  <c r="O45" i="107"/>
  <c r="O14" i="108"/>
  <c r="Q29" i="113"/>
  <c r="O29" i="115"/>
  <c r="S3" i="115"/>
  <c r="T3" i="115"/>
  <c r="V3" i="113"/>
  <c r="U3" i="113"/>
  <c r="S3" i="113"/>
  <c r="Q3" i="115"/>
  <c r="O43" i="115"/>
  <c r="C3" i="115"/>
  <c r="C4" i="115"/>
  <c r="C5" i="115"/>
  <c r="C6" i="115"/>
  <c r="O41" i="115" s="1"/>
  <c r="C7" i="115"/>
  <c r="C8" i="115"/>
  <c r="C9" i="115"/>
  <c r="C10" i="115"/>
  <c r="D10" i="115" s="1"/>
  <c r="C11" i="115"/>
  <c r="C12" i="115"/>
  <c r="C13" i="115"/>
  <c r="C14" i="115"/>
  <c r="D14" i="115" s="1"/>
  <c r="C15" i="115"/>
  <c r="C16" i="115"/>
  <c r="C17" i="115"/>
  <c r="C18" i="115"/>
  <c r="D18" i="115" s="1"/>
  <c r="C19" i="115"/>
  <c r="C20" i="115"/>
  <c r="C21" i="115"/>
  <c r="C22" i="115"/>
  <c r="D22" i="115" s="1"/>
  <c r="C23" i="115"/>
  <c r="C24" i="115"/>
  <c r="C25" i="115"/>
  <c r="C26" i="115"/>
  <c r="D26" i="115" s="1"/>
  <c r="C27" i="115"/>
  <c r="C28" i="115"/>
  <c r="C29" i="115"/>
  <c r="C30" i="115"/>
  <c r="D30" i="115" s="1"/>
  <c r="C31" i="115"/>
  <c r="C32" i="115"/>
  <c r="V36" i="115"/>
  <c r="B36" i="115" s="1"/>
  <c r="C36" i="115"/>
  <c r="D36" i="115" s="1"/>
  <c r="V35" i="115"/>
  <c r="B35" i="115" s="1"/>
  <c r="C35" i="115"/>
  <c r="D35" i="115" s="1"/>
  <c r="V34" i="115"/>
  <c r="B34" i="115" s="1"/>
  <c r="C34" i="115"/>
  <c r="D34" i="115" s="1"/>
  <c r="V33" i="115"/>
  <c r="B33" i="115" s="1"/>
  <c r="C33" i="115"/>
  <c r="D33" i="115" s="1"/>
  <c r="V32" i="115"/>
  <c r="B32" i="115" s="1"/>
  <c r="D32" i="115"/>
  <c r="V31" i="115"/>
  <c r="B31" i="115" s="1"/>
  <c r="D31" i="115"/>
  <c r="V30" i="115"/>
  <c r="B30" i="115"/>
  <c r="V29" i="115"/>
  <c r="D29" i="115"/>
  <c r="B29" i="115"/>
  <c r="V28" i="115"/>
  <c r="B28" i="115" s="1"/>
  <c r="D28" i="115"/>
  <c r="V27" i="115"/>
  <c r="B27" i="115" s="1"/>
  <c r="D27" i="115"/>
  <c r="V26" i="115"/>
  <c r="B26" i="115"/>
  <c r="V25" i="115"/>
  <c r="P25" i="115"/>
  <c r="P15" i="115"/>
  <c r="U15" i="115" s="1"/>
  <c r="U17" i="115" s="1"/>
  <c r="U18" i="115" s="1"/>
  <c r="S24" i="115" s="1"/>
  <c r="P13" i="115"/>
  <c r="O25" i="115" s="1"/>
  <c r="D25" i="115"/>
  <c r="B25" i="115"/>
  <c r="V24" i="115"/>
  <c r="B24" i="115" s="1"/>
  <c r="U16" i="115"/>
  <c r="Q8" i="115"/>
  <c r="R16" i="115"/>
  <c r="R17" i="115" s="1"/>
  <c r="Q18" i="115" s="1"/>
  <c r="Q24" i="115" s="1"/>
  <c r="R15" i="115"/>
  <c r="D24" i="115"/>
  <c r="V23" i="115"/>
  <c r="D23" i="115"/>
  <c r="B23" i="115"/>
  <c r="V22" i="115"/>
  <c r="B22" i="115"/>
  <c r="V21" i="115"/>
  <c r="B21" i="115" s="1"/>
  <c r="D21" i="115"/>
  <c r="V20" i="115"/>
  <c r="B20" i="115" s="1"/>
  <c r="D20" i="115"/>
  <c r="V19" i="115"/>
  <c r="D19" i="115"/>
  <c r="B19" i="115"/>
  <c r="V18" i="115"/>
  <c r="B18" i="115"/>
  <c r="V17" i="115"/>
  <c r="B17" i="115" s="1"/>
  <c r="D17" i="115"/>
  <c r="V16" i="115"/>
  <c r="B16" i="115" s="1"/>
  <c r="D16" i="115"/>
  <c r="V15" i="115"/>
  <c r="O15" i="115"/>
  <c r="D15" i="115"/>
  <c r="B15" i="115"/>
  <c r="V14" i="115"/>
  <c r="B14" i="115"/>
  <c r="V13" i="115"/>
  <c r="B13" i="115" s="1"/>
  <c r="O7" i="115"/>
  <c r="O3" i="115" s="1"/>
  <c r="O11" i="115" s="1"/>
  <c r="O13" i="115" s="1"/>
  <c r="U3" i="115"/>
  <c r="D13" i="115"/>
  <c r="V12" i="115"/>
  <c r="D12" i="115"/>
  <c r="B12" i="115"/>
  <c r="V11" i="115"/>
  <c r="D11" i="115"/>
  <c r="B11" i="115"/>
  <c r="V10" i="115"/>
  <c r="Q10" i="115"/>
  <c r="B10" i="115"/>
  <c r="V9" i="115"/>
  <c r="B9" i="115" s="1"/>
  <c r="D9" i="115"/>
  <c r="V8" i="115"/>
  <c r="B8" i="115" s="1"/>
  <c r="D8" i="115"/>
  <c r="V7" i="115"/>
  <c r="D7" i="115"/>
  <c r="B7" i="115"/>
  <c r="V6" i="115"/>
  <c r="B6" i="115"/>
  <c r="V5" i="115"/>
  <c r="B5" i="115" s="1"/>
  <c r="D5" i="115"/>
  <c r="V4" i="115"/>
  <c r="B4" i="115" s="1"/>
  <c r="D4" i="115"/>
  <c r="V3" i="115"/>
  <c r="D3" i="115"/>
  <c r="B3" i="115"/>
  <c r="Q3" i="111"/>
  <c r="S3" i="111"/>
  <c r="O29" i="111"/>
  <c r="AB49" i="114"/>
  <c r="Z49" i="114"/>
  <c r="Z52" i="114"/>
  <c r="AB52" i="114"/>
  <c r="AD52" i="114"/>
  <c r="AD49" i="114"/>
  <c r="AD46" i="114"/>
  <c r="AB46" i="114"/>
  <c r="Z46" i="114"/>
  <c r="X46" i="114"/>
  <c r="V46" i="114"/>
  <c r="T46" i="114"/>
  <c r="R46" i="114"/>
  <c r="R45" i="114"/>
  <c r="Z51" i="114"/>
  <c r="Z48" i="114"/>
  <c r="AB48" i="114"/>
  <c r="AB51" i="114"/>
  <c r="AD51" i="114"/>
  <c r="AD48" i="114"/>
  <c r="AD45" i="114"/>
  <c r="AB45" i="114"/>
  <c r="Z45" i="114"/>
  <c r="X45" i="114"/>
  <c r="V45" i="114"/>
  <c r="T45" i="114"/>
  <c r="AG44" i="114"/>
  <c r="O3" i="110"/>
  <c r="AG3" i="114"/>
  <c r="AC50" i="114"/>
  <c r="AC52" i="114"/>
  <c r="AA50" i="114"/>
  <c r="AA52" i="114"/>
  <c r="Y50" i="114"/>
  <c r="Y52" i="114"/>
  <c r="AD50" i="114"/>
  <c r="AB50" i="114"/>
  <c r="Z50" i="114"/>
  <c r="AC47" i="114"/>
  <c r="AC49" i="114"/>
  <c r="AA47" i="114"/>
  <c r="AA49" i="114"/>
  <c r="Y47" i="114"/>
  <c r="Y49" i="114"/>
  <c r="AD47" i="114"/>
  <c r="AB47" i="114"/>
  <c r="Z47" i="114"/>
  <c r="AC44" i="114"/>
  <c r="AC46" i="114"/>
  <c r="AA44" i="114"/>
  <c r="AA46" i="114"/>
  <c r="Y44" i="114"/>
  <c r="Y46" i="114"/>
  <c r="W44" i="114"/>
  <c r="W46" i="114"/>
  <c r="U46" i="114"/>
  <c r="S46" i="114"/>
  <c r="Q46" i="114"/>
  <c r="AG29" i="114"/>
  <c r="F44" i="114"/>
  <c r="G44" i="114"/>
  <c r="M45" i="114"/>
  <c r="N45" i="114"/>
  <c r="AE44" i="114"/>
  <c r="AD44" i="114"/>
  <c r="AB44" i="114"/>
  <c r="Z44" i="114"/>
  <c r="L44" i="114"/>
  <c r="K44" i="114"/>
  <c r="H44" i="114"/>
  <c r="D44" i="114"/>
  <c r="C44" i="114"/>
  <c r="A44" i="114"/>
  <c r="O29" i="114"/>
  <c r="AI8" i="114"/>
  <c r="AH9" i="114"/>
  <c r="AJ6" i="114"/>
  <c r="AI6" i="114"/>
  <c r="AH6" i="114"/>
  <c r="AK3" i="114"/>
  <c r="AJ3" i="114"/>
  <c r="Q51" i="113"/>
  <c r="E3" i="113"/>
  <c r="E4" i="113"/>
  <c r="E5" i="113"/>
  <c r="E6" i="113"/>
  <c r="E7" i="113"/>
  <c r="E8" i="113"/>
  <c r="E9" i="113"/>
  <c r="E10" i="113"/>
  <c r="E11" i="113"/>
  <c r="E12" i="113"/>
  <c r="E13" i="113"/>
  <c r="E14" i="113"/>
  <c r="E15" i="113"/>
  <c r="E16" i="113"/>
  <c r="E17" i="113"/>
  <c r="E18" i="113"/>
  <c r="E19" i="113"/>
  <c r="E20" i="113"/>
  <c r="E21" i="113"/>
  <c r="E22" i="113"/>
  <c r="E23" i="113"/>
  <c r="E24" i="113"/>
  <c r="E25" i="113"/>
  <c r="E26" i="113"/>
  <c r="E27" i="113"/>
  <c r="E28" i="113"/>
  <c r="E29" i="113"/>
  <c r="E30" i="113"/>
  <c r="E31" i="113"/>
  <c r="E32" i="113"/>
  <c r="Q41" i="113"/>
  <c r="X36" i="113"/>
  <c r="E36" i="113"/>
  <c r="F36" i="113"/>
  <c r="D36" i="113"/>
  <c r="X35" i="113"/>
  <c r="E35" i="113"/>
  <c r="F35" i="113"/>
  <c r="D35" i="113"/>
  <c r="X34" i="113"/>
  <c r="E34" i="113"/>
  <c r="F34" i="113"/>
  <c r="D34" i="113"/>
  <c r="X33" i="113"/>
  <c r="E33" i="113"/>
  <c r="F33" i="113"/>
  <c r="D33" i="113"/>
  <c r="X32" i="113"/>
  <c r="F32" i="113"/>
  <c r="D32" i="113"/>
  <c r="X31" i="113"/>
  <c r="F31" i="113"/>
  <c r="D31" i="113"/>
  <c r="X30" i="113"/>
  <c r="F30" i="113"/>
  <c r="D30" i="113"/>
  <c r="X29" i="113"/>
  <c r="F29" i="113"/>
  <c r="D29" i="113"/>
  <c r="X28" i="113"/>
  <c r="F28" i="113"/>
  <c r="D28" i="113"/>
  <c r="X27" i="113"/>
  <c r="F27" i="113"/>
  <c r="D27" i="113"/>
  <c r="X26" i="113"/>
  <c r="F26" i="113"/>
  <c r="D26" i="113"/>
  <c r="X25" i="113"/>
  <c r="R25" i="113"/>
  <c r="S24" i="113" s="1"/>
  <c r="R3" i="113"/>
  <c r="R11" i="113"/>
  <c r="R15" i="113"/>
  <c r="R13" i="113"/>
  <c r="Q25" i="113" s="1"/>
  <c r="F25" i="113"/>
  <c r="D25" i="113"/>
  <c r="X24" i="113"/>
  <c r="W16" i="113"/>
  <c r="W17" i="113" s="1"/>
  <c r="W18" i="113" s="1"/>
  <c r="U24" i="113" s="1"/>
  <c r="W15" i="113"/>
  <c r="S8" i="113"/>
  <c r="T16" i="113"/>
  <c r="T15" i="113"/>
  <c r="T17" i="113"/>
  <c r="S18" i="113"/>
  <c r="F24" i="113"/>
  <c r="D24" i="113"/>
  <c r="X23" i="113"/>
  <c r="F23" i="113"/>
  <c r="D23" i="113"/>
  <c r="X22" i="113"/>
  <c r="F22" i="113"/>
  <c r="D22" i="113"/>
  <c r="X21" i="113"/>
  <c r="F21" i="113"/>
  <c r="D21" i="113"/>
  <c r="X20" i="113"/>
  <c r="F20" i="113"/>
  <c r="D20" i="113"/>
  <c r="X19" i="113"/>
  <c r="F19" i="113"/>
  <c r="D19" i="113"/>
  <c r="X18" i="113"/>
  <c r="F18" i="113"/>
  <c r="D18" i="113"/>
  <c r="X17" i="113"/>
  <c r="F17" i="113"/>
  <c r="D17" i="113"/>
  <c r="X16" i="113"/>
  <c r="F16" i="113"/>
  <c r="D16" i="113"/>
  <c r="X15" i="113"/>
  <c r="Q15" i="113"/>
  <c r="F15" i="113"/>
  <c r="D15" i="113"/>
  <c r="X14" i="113"/>
  <c r="F14" i="113"/>
  <c r="D14" i="113"/>
  <c r="X13" i="113"/>
  <c r="Q5" i="113"/>
  <c r="Q7" i="113"/>
  <c r="Q3" i="113"/>
  <c r="W3" i="113"/>
  <c r="Q11" i="113"/>
  <c r="F13" i="113"/>
  <c r="D13" i="113"/>
  <c r="X12" i="113"/>
  <c r="F12" i="113"/>
  <c r="D12" i="113"/>
  <c r="X11" i="113"/>
  <c r="F11" i="113"/>
  <c r="D11" i="113"/>
  <c r="X10" i="113"/>
  <c r="S10" i="113"/>
  <c r="F10" i="113"/>
  <c r="D10" i="113"/>
  <c r="X9" i="113"/>
  <c r="F9" i="113"/>
  <c r="D9" i="113"/>
  <c r="X8" i="113"/>
  <c r="F8" i="113"/>
  <c r="D8" i="113"/>
  <c r="X7" i="113"/>
  <c r="F7" i="113"/>
  <c r="D7" i="113"/>
  <c r="X6" i="113"/>
  <c r="F6" i="113"/>
  <c r="D6" i="113"/>
  <c r="X5" i="113"/>
  <c r="F5" i="113"/>
  <c r="D5" i="113"/>
  <c r="X4" i="113"/>
  <c r="F4" i="113"/>
  <c r="D4" i="113"/>
  <c r="X3" i="113"/>
  <c r="F3" i="113"/>
  <c r="D3" i="113"/>
  <c r="Q44" i="110"/>
  <c r="O29" i="110"/>
  <c r="AG29" i="110"/>
  <c r="V36" i="111"/>
  <c r="B36" i="111"/>
  <c r="V35" i="111"/>
  <c r="B35" i="111"/>
  <c r="V34" i="111"/>
  <c r="B34" i="111"/>
  <c r="V33" i="111"/>
  <c r="B33" i="111"/>
  <c r="V32" i="111"/>
  <c r="B32" i="111"/>
  <c r="V31" i="111"/>
  <c r="B31" i="111"/>
  <c r="V30" i="111"/>
  <c r="B30" i="111"/>
  <c r="V29" i="111"/>
  <c r="B29" i="111"/>
  <c r="V28" i="111"/>
  <c r="B28" i="111"/>
  <c r="V27" i="111"/>
  <c r="B27" i="111"/>
  <c r="V26" i="111"/>
  <c r="B26" i="111"/>
  <c r="V25" i="111"/>
  <c r="B25" i="111"/>
  <c r="V24" i="111"/>
  <c r="B24" i="111"/>
  <c r="V23" i="111"/>
  <c r="B23" i="111"/>
  <c r="V22" i="111"/>
  <c r="B22" i="111"/>
  <c r="V21" i="111"/>
  <c r="B21" i="111"/>
  <c r="V20" i="111"/>
  <c r="B20" i="111"/>
  <c r="V19" i="111"/>
  <c r="B19" i="111"/>
  <c r="V18" i="111"/>
  <c r="B18" i="111"/>
  <c r="V17" i="111"/>
  <c r="B17" i="111"/>
  <c r="V16" i="111"/>
  <c r="B16" i="111"/>
  <c r="V15" i="111"/>
  <c r="B15" i="111"/>
  <c r="V14" i="111"/>
  <c r="B14" i="111"/>
  <c r="V13" i="111"/>
  <c r="B13" i="111"/>
  <c r="V12" i="111"/>
  <c r="B12" i="111"/>
  <c r="V11" i="111"/>
  <c r="B11" i="111"/>
  <c r="V10" i="111"/>
  <c r="B10" i="111"/>
  <c r="V9" i="111"/>
  <c r="B9" i="111"/>
  <c r="V8" i="111"/>
  <c r="B8" i="111"/>
  <c r="V7" i="111"/>
  <c r="B7" i="111"/>
  <c r="V6" i="111"/>
  <c r="B6" i="111"/>
  <c r="V5" i="111"/>
  <c r="B5" i="111"/>
  <c r="V4" i="111"/>
  <c r="B4" i="111"/>
  <c r="V3" i="111"/>
  <c r="B3" i="111"/>
  <c r="Q17" i="109"/>
  <c r="E3" i="109"/>
  <c r="E4" i="109"/>
  <c r="E5" i="109"/>
  <c r="H6" i="109"/>
  <c r="E6" i="109"/>
  <c r="H7" i="109"/>
  <c r="E7" i="109"/>
  <c r="E8" i="109"/>
  <c r="H9" i="109"/>
  <c r="E9" i="109"/>
  <c r="E10" i="109"/>
  <c r="H11" i="109"/>
  <c r="E11" i="109"/>
  <c r="H12" i="109"/>
  <c r="E12" i="109"/>
  <c r="H13" i="109"/>
  <c r="E13" i="109"/>
  <c r="H14" i="109"/>
  <c r="E14" i="109"/>
  <c r="H15" i="109"/>
  <c r="E15" i="109"/>
  <c r="H16" i="109"/>
  <c r="E16" i="109"/>
  <c r="E17" i="109"/>
  <c r="H18" i="109"/>
  <c r="E18" i="109"/>
  <c r="H19" i="109"/>
  <c r="E19" i="109"/>
  <c r="H20" i="109"/>
  <c r="E20" i="109"/>
  <c r="H21" i="109"/>
  <c r="E21" i="109"/>
  <c r="H22" i="109"/>
  <c r="E22" i="109"/>
  <c r="H23" i="109"/>
  <c r="E23" i="109"/>
  <c r="E24" i="109"/>
  <c r="E25" i="109"/>
  <c r="E26" i="109"/>
  <c r="E27" i="109"/>
  <c r="E28" i="109"/>
  <c r="E29" i="109"/>
  <c r="E30" i="109"/>
  <c r="E31" i="109"/>
  <c r="E32" i="109"/>
  <c r="E33" i="109"/>
  <c r="Q41" i="109"/>
  <c r="Q5" i="109"/>
  <c r="O43" i="111"/>
  <c r="O41" i="111"/>
  <c r="P25" i="111"/>
  <c r="P11" i="111"/>
  <c r="P15" i="111"/>
  <c r="P13" i="111"/>
  <c r="O25" i="111"/>
  <c r="U16" i="111"/>
  <c r="U15" i="111"/>
  <c r="U17" i="111"/>
  <c r="Q8" i="111"/>
  <c r="U18" i="111"/>
  <c r="S24" i="111"/>
  <c r="R16" i="111"/>
  <c r="R15" i="111"/>
  <c r="R17" i="111"/>
  <c r="Q18" i="111"/>
  <c r="Q24" i="111"/>
  <c r="W44" i="110"/>
  <c r="S44" i="110"/>
  <c r="U44" i="110"/>
  <c r="F44" i="110"/>
  <c r="G44" i="110"/>
  <c r="I44" i="110"/>
  <c r="M45" i="110"/>
  <c r="Y44" i="110"/>
  <c r="AA44" i="110"/>
  <c r="AC44" i="110"/>
  <c r="Y47" i="110"/>
  <c r="Y50" i="110"/>
  <c r="AA47" i="110"/>
  <c r="AA50" i="110"/>
  <c r="AC47" i="110"/>
  <c r="AC50" i="110"/>
  <c r="AK6" i="110"/>
  <c r="AG3" i="110"/>
  <c r="AG44" i="110"/>
  <c r="O44" i="110"/>
  <c r="O17" i="111"/>
  <c r="O15" i="111"/>
  <c r="O5" i="111"/>
  <c r="O7" i="111"/>
  <c r="O3" i="111"/>
  <c r="U3" i="111"/>
  <c r="O11" i="111"/>
  <c r="O13" i="111"/>
  <c r="Q10" i="111"/>
  <c r="Q15" i="109"/>
  <c r="R3" i="109"/>
  <c r="R11" i="109"/>
  <c r="Q7" i="109"/>
  <c r="Q3" i="109"/>
  <c r="W3" i="109"/>
  <c r="Q11" i="109"/>
  <c r="N45" i="110"/>
  <c r="Q43" i="109"/>
  <c r="T46" i="110"/>
  <c r="T45" i="110"/>
  <c r="V3" i="109"/>
  <c r="U3" i="109"/>
  <c r="S3" i="109"/>
  <c r="Q29" i="109"/>
  <c r="AC52" i="110"/>
  <c r="AA52" i="110"/>
  <c r="Y52" i="110"/>
  <c r="AD50" i="110"/>
  <c r="AB50" i="110"/>
  <c r="Z50" i="110"/>
  <c r="AC49" i="110"/>
  <c r="AA49" i="110"/>
  <c r="Y49" i="110"/>
  <c r="AD47" i="110"/>
  <c r="AB47" i="110"/>
  <c r="Z47" i="110"/>
  <c r="AC46" i="110"/>
  <c r="AA46" i="110"/>
  <c r="Y46" i="110"/>
  <c r="W46" i="110"/>
  <c r="U46" i="110"/>
  <c r="S46" i="110"/>
  <c r="Q46" i="110"/>
  <c r="O46" i="110"/>
  <c r="AE44" i="110"/>
  <c r="AD44" i="110"/>
  <c r="AB44" i="110"/>
  <c r="Z44" i="110"/>
  <c r="L44" i="110"/>
  <c r="K44" i="110"/>
  <c r="H44" i="110"/>
  <c r="D44" i="110"/>
  <c r="C44" i="110"/>
  <c r="A44" i="110"/>
  <c r="AI8" i="110"/>
  <c r="AH9" i="110"/>
  <c r="AJ6" i="110"/>
  <c r="AI6" i="110"/>
  <c r="AH6" i="110"/>
  <c r="AK3" i="110"/>
  <c r="AJ3" i="110"/>
  <c r="X36" i="109"/>
  <c r="E36" i="109"/>
  <c r="F36" i="109"/>
  <c r="D36" i="109"/>
  <c r="X35" i="109"/>
  <c r="E35" i="109"/>
  <c r="F35" i="109"/>
  <c r="D35" i="109"/>
  <c r="X34" i="109"/>
  <c r="E34" i="109"/>
  <c r="F34" i="109"/>
  <c r="D34" i="109"/>
  <c r="X33" i="109"/>
  <c r="F33" i="109"/>
  <c r="D33" i="109"/>
  <c r="X32" i="109"/>
  <c r="F32" i="109"/>
  <c r="D32" i="109"/>
  <c r="X31" i="109"/>
  <c r="F31" i="109"/>
  <c r="D31" i="109"/>
  <c r="X30" i="109"/>
  <c r="F30" i="109"/>
  <c r="D30" i="109"/>
  <c r="X29" i="109"/>
  <c r="F29" i="109"/>
  <c r="D29" i="109"/>
  <c r="X28" i="109"/>
  <c r="F28" i="109"/>
  <c r="D28" i="109"/>
  <c r="X27" i="109"/>
  <c r="F27" i="109"/>
  <c r="D27" i="109"/>
  <c r="X26" i="109"/>
  <c r="F26" i="109"/>
  <c r="D26" i="109"/>
  <c r="X25" i="109"/>
  <c r="R25" i="109"/>
  <c r="R13" i="109"/>
  <c r="Q25" i="109"/>
  <c r="F25" i="109"/>
  <c r="D25" i="109"/>
  <c r="X24" i="109"/>
  <c r="W16" i="109"/>
  <c r="W15" i="109"/>
  <c r="W17" i="109"/>
  <c r="S8" i="109"/>
  <c r="W18" i="109"/>
  <c r="U24" i="109"/>
  <c r="T16" i="109"/>
  <c r="T15" i="109"/>
  <c r="T17" i="109"/>
  <c r="S18" i="109"/>
  <c r="S24" i="109"/>
  <c r="F24" i="109"/>
  <c r="D24" i="109"/>
  <c r="X23" i="109"/>
  <c r="F23" i="109"/>
  <c r="D23" i="109"/>
  <c r="X22" i="109"/>
  <c r="F22" i="109"/>
  <c r="D22" i="109"/>
  <c r="X21" i="109"/>
  <c r="F21" i="109"/>
  <c r="D21" i="109"/>
  <c r="X20" i="109"/>
  <c r="F20" i="109"/>
  <c r="D20" i="109"/>
  <c r="X19" i="109"/>
  <c r="F19" i="109"/>
  <c r="D19" i="109"/>
  <c r="X18" i="109"/>
  <c r="F18" i="109"/>
  <c r="D18" i="109"/>
  <c r="X17" i="109"/>
  <c r="F17" i="109"/>
  <c r="D17" i="109"/>
  <c r="X16" i="109"/>
  <c r="F16" i="109"/>
  <c r="D16" i="109"/>
  <c r="X15" i="109"/>
  <c r="F15" i="109"/>
  <c r="D15" i="109"/>
  <c r="X14" i="109"/>
  <c r="F14" i="109"/>
  <c r="D14" i="109"/>
  <c r="X13" i="109"/>
  <c r="Q13" i="109"/>
  <c r="F13" i="109"/>
  <c r="D13" i="109"/>
  <c r="X12" i="109"/>
  <c r="F12" i="109"/>
  <c r="D12" i="109"/>
  <c r="X11" i="109"/>
  <c r="F11" i="109"/>
  <c r="D11" i="109"/>
  <c r="X10" i="109"/>
  <c r="S10" i="109"/>
  <c r="F10" i="109"/>
  <c r="D10" i="109"/>
  <c r="X9" i="109"/>
  <c r="F9" i="109"/>
  <c r="D9" i="109"/>
  <c r="X8" i="109"/>
  <c r="F8" i="109"/>
  <c r="D8" i="109"/>
  <c r="X7" i="109"/>
  <c r="F7" i="109"/>
  <c r="D7" i="109"/>
  <c r="X6" i="109"/>
  <c r="F6" i="109"/>
  <c r="D6" i="109"/>
  <c r="X5" i="109"/>
  <c r="F5" i="109"/>
  <c r="D5" i="109"/>
  <c r="X4" i="109"/>
  <c r="F4" i="109"/>
  <c r="D4" i="109"/>
  <c r="X3" i="109"/>
  <c r="F3" i="109"/>
  <c r="D3" i="109"/>
  <c r="N44" i="101"/>
  <c r="M44" i="101"/>
  <c r="F21" i="108"/>
  <c r="F20" i="108"/>
  <c r="F18" i="108"/>
  <c r="F17" i="108"/>
  <c r="F16" i="108"/>
  <c r="F15" i="108"/>
  <c r="F14" i="108"/>
  <c r="F13" i="108"/>
  <c r="F43" i="101"/>
  <c r="I43" i="101"/>
  <c r="AC43" i="101"/>
  <c r="AK6" i="101"/>
  <c r="O3" i="101"/>
  <c r="O43" i="101"/>
  <c r="O15" i="104"/>
  <c r="P14" i="104"/>
  <c r="O14" i="104"/>
  <c r="S43" i="107"/>
  <c r="U43" i="107"/>
  <c r="Q43" i="107"/>
  <c r="F43" i="107"/>
  <c r="AK6" i="107"/>
  <c r="AG43" i="107"/>
  <c r="O3" i="107"/>
  <c r="O43" i="107"/>
  <c r="O28" i="108"/>
  <c r="R14" i="92"/>
  <c r="R14" i="97"/>
  <c r="R14" i="102"/>
  <c r="P14" i="102"/>
  <c r="O14" i="102"/>
  <c r="P14" i="92"/>
  <c r="O14" i="92"/>
  <c r="P14" i="97"/>
  <c r="O14" i="97"/>
  <c r="P14" i="99"/>
  <c r="O14" i="99"/>
  <c r="F10" i="108"/>
  <c r="F11" i="108"/>
  <c r="F9" i="108"/>
  <c r="O42" i="108"/>
  <c r="Q2" i="108"/>
  <c r="Q2" i="104"/>
  <c r="T2" i="108"/>
  <c r="S2" i="108"/>
  <c r="F7" i="108"/>
  <c r="F8" i="108"/>
  <c r="C2" i="108"/>
  <c r="C3" i="108"/>
  <c r="C4" i="108"/>
  <c r="C5" i="108"/>
  <c r="C6" i="108"/>
  <c r="C7" i="108"/>
  <c r="C8" i="108"/>
  <c r="C9" i="108"/>
  <c r="C10" i="108"/>
  <c r="C11" i="108"/>
  <c r="C12" i="108"/>
  <c r="C13" i="108"/>
  <c r="C14" i="108"/>
  <c r="C15" i="108"/>
  <c r="C16" i="108"/>
  <c r="C17" i="108"/>
  <c r="C18" i="108"/>
  <c r="C19" i="108"/>
  <c r="C20" i="108"/>
  <c r="C21" i="108"/>
  <c r="C22" i="108"/>
  <c r="C23" i="108"/>
  <c r="C24" i="108"/>
  <c r="C25" i="108"/>
  <c r="C26" i="108"/>
  <c r="C27" i="108"/>
  <c r="C28" i="108"/>
  <c r="C29" i="108"/>
  <c r="C30" i="108"/>
  <c r="C31" i="108"/>
  <c r="O40" i="108"/>
  <c r="V35" i="108"/>
  <c r="C35" i="108"/>
  <c r="D35" i="108"/>
  <c r="B35" i="108"/>
  <c r="V34" i="108"/>
  <c r="C34" i="108"/>
  <c r="D34" i="108"/>
  <c r="B34" i="108"/>
  <c r="V33" i="108"/>
  <c r="C33" i="108"/>
  <c r="D33" i="108"/>
  <c r="B33" i="108"/>
  <c r="V32" i="108"/>
  <c r="C32" i="108"/>
  <c r="D32" i="108"/>
  <c r="B32" i="108"/>
  <c r="V31" i="108"/>
  <c r="D31" i="108"/>
  <c r="B31" i="108"/>
  <c r="V30" i="108"/>
  <c r="D30" i="108"/>
  <c r="B30" i="108"/>
  <c r="V29" i="108"/>
  <c r="D29" i="108"/>
  <c r="B29" i="108"/>
  <c r="V28" i="108"/>
  <c r="D28" i="108"/>
  <c r="B28" i="108"/>
  <c r="V27" i="108"/>
  <c r="D27" i="108"/>
  <c r="B27" i="108"/>
  <c r="V26" i="108"/>
  <c r="D26" i="108"/>
  <c r="B26" i="108"/>
  <c r="V25" i="108"/>
  <c r="D25" i="108"/>
  <c r="B25" i="108"/>
  <c r="V24" i="108"/>
  <c r="P24" i="108"/>
  <c r="P2" i="108"/>
  <c r="P10" i="108"/>
  <c r="P14" i="108"/>
  <c r="P12" i="108"/>
  <c r="O24" i="108"/>
  <c r="D24" i="108"/>
  <c r="B24" i="108"/>
  <c r="V23" i="108"/>
  <c r="U15" i="108"/>
  <c r="U14" i="108"/>
  <c r="U16" i="108"/>
  <c r="Q7" i="108"/>
  <c r="U17" i="108"/>
  <c r="S23" i="108"/>
  <c r="R15" i="108"/>
  <c r="R14" i="108"/>
  <c r="R16" i="108"/>
  <c r="Q17" i="108"/>
  <c r="Q23" i="108"/>
  <c r="D23" i="108"/>
  <c r="B23" i="108"/>
  <c r="V22" i="108"/>
  <c r="D22" i="108"/>
  <c r="B22" i="108"/>
  <c r="V21" i="108"/>
  <c r="D21" i="108"/>
  <c r="B21" i="108"/>
  <c r="V20" i="108"/>
  <c r="D20" i="108"/>
  <c r="B20" i="108"/>
  <c r="V19" i="108"/>
  <c r="D19" i="108"/>
  <c r="B19" i="108"/>
  <c r="V18" i="108"/>
  <c r="D18" i="108"/>
  <c r="B18" i="108"/>
  <c r="V17" i="108"/>
  <c r="D17" i="108"/>
  <c r="B17" i="108"/>
  <c r="V16" i="108"/>
  <c r="D16" i="108"/>
  <c r="B16" i="108"/>
  <c r="V15" i="108"/>
  <c r="D15" i="108"/>
  <c r="B15" i="108"/>
  <c r="V14" i="108"/>
  <c r="D14" i="108"/>
  <c r="B14" i="108"/>
  <c r="V13" i="108"/>
  <c r="D13" i="108"/>
  <c r="B13" i="108"/>
  <c r="V12" i="108"/>
  <c r="O4" i="108"/>
  <c r="O6" i="108"/>
  <c r="O2" i="108"/>
  <c r="U2" i="108"/>
  <c r="O10" i="108"/>
  <c r="O12" i="108"/>
  <c r="D12" i="108"/>
  <c r="B12" i="108"/>
  <c r="V11" i="108"/>
  <c r="D11" i="108"/>
  <c r="B11" i="108"/>
  <c r="V10" i="108"/>
  <c r="D10" i="108"/>
  <c r="B10" i="108"/>
  <c r="V9" i="108"/>
  <c r="Q9" i="108"/>
  <c r="D9" i="108"/>
  <c r="B9" i="108"/>
  <c r="V8" i="108"/>
  <c r="D8" i="108"/>
  <c r="B8" i="108"/>
  <c r="V7" i="108"/>
  <c r="D7" i="108"/>
  <c r="B7" i="108"/>
  <c r="V6" i="108"/>
  <c r="D6" i="108"/>
  <c r="B6" i="108"/>
  <c r="V5" i="108"/>
  <c r="D5" i="108"/>
  <c r="B5" i="108"/>
  <c r="V4" i="108"/>
  <c r="D4" i="108"/>
  <c r="B4" i="108"/>
  <c r="V3" i="108"/>
  <c r="D3" i="108"/>
  <c r="B3" i="108"/>
  <c r="V2" i="108"/>
  <c r="D2" i="108"/>
  <c r="B2" i="108"/>
  <c r="AC47" i="107"/>
  <c r="AC43" i="107"/>
  <c r="AA43" i="107"/>
  <c r="Y43" i="107"/>
  <c r="X44" i="107"/>
  <c r="AB58" i="107"/>
  <c r="AA55" i="107"/>
  <c r="AA58" i="107"/>
  <c r="Z58" i="107"/>
  <c r="Y55" i="107"/>
  <c r="Y57" i="107"/>
  <c r="Y58" i="107"/>
  <c r="AB57" i="107"/>
  <c r="Z57" i="107"/>
  <c r="AB56" i="107"/>
  <c r="Z56" i="107"/>
  <c r="AB55" i="107"/>
  <c r="Z55" i="107"/>
  <c r="AB54" i="107"/>
  <c r="AA51" i="107"/>
  <c r="AA53" i="107"/>
  <c r="AA54" i="107"/>
  <c r="Z54" i="107"/>
  <c r="Y51" i="107"/>
  <c r="Y53" i="107"/>
  <c r="Y54" i="107"/>
  <c r="AD53" i="107"/>
  <c r="AC51" i="107"/>
  <c r="AC53" i="107"/>
  <c r="AB53" i="107"/>
  <c r="Z53" i="107"/>
  <c r="AD52" i="107"/>
  <c r="AB52" i="107"/>
  <c r="Z52" i="107"/>
  <c r="AD51" i="107"/>
  <c r="AB51" i="107"/>
  <c r="Z51" i="107"/>
  <c r="AD50" i="107"/>
  <c r="AC50" i="107"/>
  <c r="AB50" i="107"/>
  <c r="AA47" i="107"/>
  <c r="AA50" i="107"/>
  <c r="Z50" i="107"/>
  <c r="Y47" i="107"/>
  <c r="Y50" i="107"/>
  <c r="AD49" i="107"/>
  <c r="AB49" i="107"/>
  <c r="Z49" i="107"/>
  <c r="AD48" i="107"/>
  <c r="AB48" i="107"/>
  <c r="Z48" i="107"/>
  <c r="AD47" i="107"/>
  <c r="AB47" i="107"/>
  <c r="Z47" i="107"/>
  <c r="AD46" i="107"/>
  <c r="AB46" i="107"/>
  <c r="Z46" i="107"/>
  <c r="X46" i="107"/>
  <c r="W43" i="107"/>
  <c r="W45" i="107"/>
  <c r="W46" i="107"/>
  <c r="V46" i="107"/>
  <c r="T46" i="107"/>
  <c r="S45" i="107"/>
  <c r="S46" i="107"/>
  <c r="R46" i="107"/>
  <c r="Q45" i="107"/>
  <c r="Q46" i="107"/>
  <c r="G43" i="107"/>
  <c r="I43" i="107"/>
  <c r="M44" i="107"/>
  <c r="O46" i="107"/>
  <c r="AD45" i="107"/>
  <c r="AB45" i="107"/>
  <c r="AA45" i="107"/>
  <c r="Z45" i="107"/>
  <c r="Y45" i="107"/>
  <c r="X45" i="107"/>
  <c r="V45" i="107"/>
  <c r="U45" i="107"/>
  <c r="T45" i="107"/>
  <c r="R45" i="107"/>
  <c r="AD44" i="107"/>
  <c r="AB44" i="107"/>
  <c r="Z44" i="107"/>
  <c r="V44" i="107"/>
  <c r="T44" i="107"/>
  <c r="R44" i="107"/>
  <c r="N44" i="107"/>
  <c r="AE43" i="107"/>
  <c r="AD43" i="107"/>
  <c r="AB43" i="107"/>
  <c r="Z43" i="107"/>
  <c r="X43" i="107"/>
  <c r="V43" i="107"/>
  <c r="T43" i="107"/>
  <c r="R43" i="107"/>
  <c r="L43" i="107"/>
  <c r="K43" i="107"/>
  <c r="H43" i="107"/>
  <c r="D43" i="107"/>
  <c r="C43" i="107"/>
  <c r="A43" i="107"/>
  <c r="AI8" i="107"/>
  <c r="AH9" i="107"/>
  <c r="AJ6" i="107"/>
  <c r="AI6" i="107"/>
  <c r="AH6" i="107"/>
  <c r="AK3" i="107"/>
  <c r="AJ3" i="107"/>
  <c r="Y55" i="101"/>
  <c r="AA43" i="101"/>
  <c r="O28" i="102"/>
  <c r="O28" i="103"/>
  <c r="P14" i="103"/>
  <c r="O14" i="103"/>
  <c r="O16" i="103"/>
  <c r="O4" i="103"/>
  <c r="D37" i="103"/>
  <c r="T2" i="104"/>
  <c r="T2" i="103"/>
  <c r="T2" i="102"/>
  <c r="T2" i="99"/>
  <c r="S2" i="104"/>
  <c r="S2" i="103"/>
  <c r="Q2" i="103"/>
  <c r="Q2" i="102"/>
  <c r="S2" i="102"/>
  <c r="S2" i="99"/>
  <c r="C2" i="103"/>
  <c r="C3" i="103"/>
  <c r="C4" i="103"/>
  <c r="C5" i="103"/>
  <c r="C6" i="103"/>
  <c r="C7" i="103"/>
  <c r="C8" i="103"/>
  <c r="C9" i="103"/>
  <c r="C10" i="103"/>
  <c r="C11" i="103"/>
  <c r="C12" i="103"/>
  <c r="C13" i="103"/>
  <c r="C14" i="103"/>
  <c r="C15" i="103"/>
  <c r="C16" i="103"/>
  <c r="C17" i="103"/>
  <c r="C18" i="103"/>
  <c r="C19" i="103"/>
  <c r="C20" i="103"/>
  <c r="C21" i="103"/>
  <c r="C22" i="103"/>
  <c r="C23" i="103"/>
  <c r="C24" i="103"/>
  <c r="C25" i="103"/>
  <c r="C26" i="103"/>
  <c r="C27" i="103"/>
  <c r="C28" i="103"/>
  <c r="C29" i="103"/>
  <c r="C30" i="103"/>
  <c r="C31" i="103"/>
  <c r="C32" i="103"/>
  <c r="O40" i="103"/>
  <c r="F3" i="104"/>
  <c r="F4" i="104"/>
  <c r="F5" i="104"/>
  <c r="O42" i="104"/>
  <c r="O28" i="104"/>
  <c r="C2" i="104"/>
  <c r="C3" i="104"/>
  <c r="C4" i="104"/>
  <c r="C5" i="104"/>
  <c r="C6" i="104"/>
  <c r="C7" i="104"/>
  <c r="C8" i="104"/>
  <c r="C9" i="104"/>
  <c r="C10" i="104"/>
  <c r="C11" i="104"/>
  <c r="C12" i="104"/>
  <c r="C13" i="104"/>
  <c r="C14" i="104"/>
  <c r="C15" i="104"/>
  <c r="C16" i="104"/>
  <c r="C17" i="104"/>
  <c r="C18" i="104"/>
  <c r="C19" i="104"/>
  <c r="C20" i="104"/>
  <c r="C21" i="104"/>
  <c r="C22" i="104"/>
  <c r="C23" i="104"/>
  <c r="C24" i="104"/>
  <c r="C25" i="104"/>
  <c r="C26" i="104"/>
  <c r="C27" i="104"/>
  <c r="C28" i="104"/>
  <c r="C29" i="104"/>
  <c r="C30" i="104"/>
  <c r="C31" i="104"/>
  <c r="O40" i="104"/>
  <c r="V35" i="104"/>
  <c r="C35" i="104"/>
  <c r="D35" i="104"/>
  <c r="B35" i="104"/>
  <c r="V34" i="104"/>
  <c r="C34" i="104"/>
  <c r="D34" i="104"/>
  <c r="B34" i="104"/>
  <c r="V33" i="104"/>
  <c r="C33" i="104"/>
  <c r="D33" i="104"/>
  <c r="B33" i="104"/>
  <c r="V32" i="104"/>
  <c r="C32" i="104"/>
  <c r="D32" i="104"/>
  <c r="B32" i="104"/>
  <c r="V31" i="104"/>
  <c r="D31" i="104"/>
  <c r="B31" i="104"/>
  <c r="V30" i="104"/>
  <c r="D30" i="104"/>
  <c r="B30" i="104"/>
  <c r="V29" i="104"/>
  <c r="D29" i="104"/>
  <c r="B29" i="104"/>
  <c r="V28" i="104"/>
  <c r="D28" i="104"/>
  <c r="B28" i="104"/>
  <c r="V27" i="104"/>
  <c r="D27" i="104"/>
  <c r="B27" i="104"/>
  <c r="V26" i="104"/>
  <c r="D26" i="104"/>
  <c r="B26" i="104"/>
  <c r="V25" i="104"/>
  <c r="D25" i="104"/>
  <c r="B25" i="104"/>
  <c r="V24" i="104"/>
  <c r="P24" i="104"/>
  <c r="P2" i="104"/>
  <c r="P10" i="104"/>
  <c r="P12" i="104"/>
  <c r="O24" i="104"/>
  <c r="D24" i="104"/>
  <c r="B24" i="104"/>
  <c r="V23" i="104"/>
  <c r="U15" i="104"/>
  <c r="U14" i="104"/>
  <c r="U16" i="104"/>
  <c r="Q7" i="104"/>
  <c r="U17" i="104"/>
  <c r="S23" i="104"/>
  <c r="R15" i="104"/>
  <c r="R14" i="104"/>
  <c r="R16" i="104"/>
  <c r="Q17" i="104"/>
  <c r="Q23" i="104"/>
  <c r="D23" i="104"/>
  <c r="B23" i="104"/>
  <c r="V22" i="104"/>
  <c r="D22" i="104"/>
  <c r="B22" i="104"/>
  <c r="V21" i="104"/>
  <c r="D21" i="104"/>
  <c r="B21" i="104"/>
  <c r="V20" i="104"/>
  <c r="D20" i="104"/>
  <c r="B20" i="104"/>
  <c r="V19" i="104"/>
  <c r="D19" i="104"/>
  <c r="B19" i="104"/>
  <c r="V18" i="104"/>
  <c r="D18" i="104"/>
  <c r="B18" i="104"/>
  <c r="V17" i="104"/>
  <c r="D17" i="104"/>
  <c r="B17" i="104"/>
  <c r="V16" i="104"/>
  <c r="D16" i="104"/>
  <c r="B16" i="104"/>
  <c r="V15" i="104"/>
  <c r="D15" i="104"/>
  <c r="B15" i="104"/>
  <c r="V14" i="104"/>
  <c r="D14" i="104"/>
  <c r="B14" i="104"/>
  <c r="V13" i="104"/>
  <c r="D13" i="104"/>
  <c r="B13" i="104"/>
  <c r="V12" i="104"/>
  <c r="O6" i="104"/>
  <c r="U2" i="104"/>
  <c r="O10" i="104"/>
  <c r="O12" i="104"/>
  <c r="D12" i="104"/>
  <c r="B12" i="104"/>
  <c r="V11" i="104"/>
  <c r="D11" i="104"/>
  <c r="B11" i="104"/>
  <c r="V10" i="104"/>
  <c r="D10" i="104"/>
  <c r="B10" i="104"/>
  <c r="V9" i="104"/>
  <c r="Q9" i="104"/>
  <c r="D9" i="104"/>
  <c r="B9" i="104"/>
  <c r="V8" i="104"/>
  <c r="D8" i="104"/>
  <c r="B8" i="104"/>
  <c r="V7" i="104"/>
  <c r="D7" i="104"/>
  <c r="B7" i="104"/>
  <c r="V6" i="104"/>
  <c r="D6" i="104"/>
  <c r="B6" i="104"/>
  <c r="V5" i="104"/>
  <c r="D5" i="104"/>
  <c r="B5" i="104"/>
  <c r="V4" i="104"/>
  <c r="D4" i="104"/>
  <c r="B4" i="104"/>
  <c r="V3" i="104"/>
  <c r="D3" i="104"/>
  <c r="B3" i="104"/>
  <c r="V2" i="104"/>
  <c r="D2" i="104"/>
  <c r="B2" i="104"/>
  <c r="O42" i="103"/>
  <c r="V35" i="103"/>
  <c r="C35" i="103"/>
  <c r="D35" i="103"/>
  <c r="B35" i="103"/>
  <c r="V34" i="103"/>
  <c r="C34" i="103"/>
  <c r="D34" i="103"/>
  <c r="B34" i="103"/>
  <c r="V33" i="103"/>
  <c r="C33" i="103"/>
  <c r="D33" i="103"/>
  <c r="B33" i="103"/>
  <c r="V32" i="103"/>
  <c r="D32" i="103"/>
  <c r="B32" i="103"/>
  <c r="V31" i="103"/>
  <c r="D31" i="103"/>
  <c r="B31" i="103"/>
  <c r="V30" i="103"/>
  <c r="D30" i="103"/>
  <c r="B30" i="103"/>
  <c r="V29" i="103"/>
  <c r="D29" i="103"/>
  <c r="B29" i="103"/>
  <c r="V28" i="103"/>
  <c r="D28" i="103"/>
  <c r="B28" i="103"/>
  <c r="V27" i="103"/>
  <c r="D27" i="103"/>
  <c r="B27" i="103"/>
  <c r="V26" i="103"/>
  <c r="D26" i="103"/>
  <c r="B26" i="103"/>
  <c r="V25" i="103"/>
  <c r="D25" i="103"/>
  <c r="B25" i="103"/>
  <c r="V24" i="103"/>
  <c r="P24" i="103"/>
  <c r="P2" i="103"/>
  <c r="P10" i="103"/>
  <c r="P12" i="103"/>
  <c r="O24" i="103"/>
  <c r="D24" i="103"/>
  <c r="B24" i="103"/>
  <c r="V23" i="103"/>
  <c r="U15" i="103"/>
  <c r="U14" i="103"/>
  <c r="U16" i="103"/>
  <c r="Q7" i="103"/>
  <c r="U17" i="103"/>
  <c r="S23" i="103"/>
  <c r="R15" i="103"/>
  <c r="R14" i="103"/>
  <c r="R16" i="103"/>
  <c r="Q17" i="103"/>
  <c r="Q23" i="103"/>
  <c r="D23" i="103"/>
  <c r="B23" i="103"/>
  <c r="V22" i="103"/>
  <c r="D22" i="103"/>
  <c r="B22" i="103"/>
  <c r="V21" i="103"/>
  <c r="D21" i="103"/>
  <c r="B21" i="103"/>
  <c r="V20" i="103"/>
  <c r="D20" i="103"/>
  <c r="B20" i="103"/>
  <c r="V19" i="103"/>
  <c r="D19" i="103"/>
  <c r="B19" i="103"/>
  <c r="V18" i="103"/>
  <c r="D18" i="103"/>
  <c r="B18" i="103"/>
  <c r="V17" i="103"/>
  <c r="D17" i="103"/>
  <c r="B17" i="103"/>
  <c r="V16" i="103"/>
  <c r="D16" i="103"/>
  <c r="B16" i="103"/>
  <c r="V15" i="103"/>
  <c r="D15" i="103"/>
  <c r="B15" i="103"/>
  <c r="V14" i="103"/>
  <c r="D14" i="103"/>
  <c r="B14" i="103"/>
  <c r="V13" i="103"/>
  <c r="D13" i="103"/>
  <c r="B13" i="103"/>
  <c r="V12" i="103"/>
  <c r="O6" i="103"/>
  <c r="O2" i="103"/>
  <c r="U2" i="103"/>
  <c r="O10" i="103"/>
  <c r="O12" i="103"/>
  <c r="D12" i="103"/>
  <c r="B12" i="103"/>
  <c r="V11" i="103"/>
  <c r="D11" i="103"/>
  <c r="B11" i="103"/>
  <c r="V10" i="103"/>
  <c r="D10" i="103"/>
  <c r="B10" i="103"/>
  <c r="V9" i="103"/>
  <c r="Q9" i="103"/>
  <c r="D9" i="103"/>
  <c r="B9" i="103"/>
  <c r="V8" i="103"/>
  <c r="D8" i="103"/>
  <c r="B8" i="103"/>
  <c r="V7" i="103"/>
  <c r="D7" i="103"/>
  <c r="B7" i="103"/>
  <c r="V6" i="103"/>
  <c r="D6" i="103"/>
  <c r="B6" i="103"/>
  <c r="V5" i="103"/>
  <c r="D5" i="103"/>
  <c r="B5" i="103"/>
  <c r="V4" i="103"/>
  <c r="D4" i="103"/>
  <c r="B4" i="103"/>
  <c r="V3" i="103"/>
  <c r="D3" i="103"/>
  <c r="B3" i="103"/>
  <c r="V2" i="103"/>
  <c r="D2" i="103"/>
  <c r="B2" i="103"/>
  <c r="O42" i="102"/>
  <c r="C2" i="102"/>
  <c r="C3" i="102"/>
  <c r="C4" i="102"/>
  <c r="C5" i="102"/>
  <c r="C6" i="102"/>
  <c r="C7" i="102"/>
  <c r="C8" i="102"/>
  <c r="C9" i="102"/>
  <c r="C10" i="102"/>
  <c r="C11" i="102"/>
  <c r="C12" i="102"/>
  <c r="C13" i="102"/>
  <c r="C14" i="102"/>
  <c r="C15" i="102"/>
  <c r="C16" i="102"/>
  <c r="C17" i="102"/>
  <c r="C18" i="102"/>
  <c r="C19" i="102"/>
  <c r="C20" i="102"/>
  <c r="C21" i="102"/>
  <c r="C22" i="102"/>
  <c r="C23" i="102"/>
  <c r="C24" i="102"/>
  <c r="C25" i="102"/>
  <c r="C26" i="102"/>
  <c r="C27" i="102"/>
  <c r="C28" i="102"/>
  <c r="C29" i="102"/>
  <c r="C30" i="102"/>
  <c r="C31" i="102"/>
  <c r="O40" i="102"/>
  <c r="V35" i="102"/>
  <c r="C35" i="102"/>
  <c r="D35" i="102"/>
  <c r="B35" i="102"/>
  <c r="V34" i="102"/>
  <c r="C34" i="102"/>
  <c r="D34" i="102"/>
  <c r="B34" i="102"/>
  <c r="V33" i="102"/>
  <c r="C33" i="102"/>
  <c r="D33" i="102"/>
  <c r="B33" i="102"/>
  <c r="V32" i="102"/>
  <c r="C32" i="102"/>
  <c r="D32" i="102"/>
  <c r="B32" i="102"/>
  <c r="V31" i="102"/>
  <c r="D31" i="102"/>
  <c r="B31" i="102"/>
  <c r="V30" i="102"/>
  <c r="D30" i="102"/>
  <c r="B30" i="102"/>
  <c r="V29" i="102"/>
  <c r="D29" i="102"/>
  <c r="B29" i="102"/>
  <c r="V28" i="102"/>
  <c r="D28" i="102"/>
  <c r="B28" i="102"/>
  <c r="V27" i="102"/>
  <c r="D27" i="102"/>
  <c r="B27" i="102"/>
  <c r="V26" i="102"/>
  <c r="D26" i="102"/>
  <c r="B26" i="102"/>
  <c r="V25" i="102"/>
  <c r="D25" i="102"/>
  <c r="B25" i="102"/>
  <c r="V24" i="102"/>
  <c r="P24" i="102"/>
  <c r="P2" i="102"/>
  <c r="P10" i="102"/>
  <c r="P12" i="102"/>
  <c r="O24" i="102"/>
  <c r="D24" i="102"/>
  <c r="B24" i="102"/>
  <c r="V23" i="102"/>
  <c r="U15" i="102"/>
  <c r="U14" i="102"/>
  <c r="U16" i="102"/>
  <c r="Q7" i="102"/>
  <c r="U17" i="102"/>
  <c r="S23" i="102"/>
  <c r="R15" i="102"/>
  <c r="R16" i="102"/>
  <c r="Q17" i="102"/>
  <c r="Q23" i="102"/>
  <c r="D23" i="102"/>
  <c r="B23" i="102"/>
  <c r="V22" i="102"/>
  <c r="D22" i="102"/>
  <c r="B22" i="102"/>
  <c r="V21" i="102"/>
  <c r="D21" i="102"/>
  <c r="B21" i="102"/>
  <c r="V20" i="102"/>
  <c r="D20" i="102"/>
  <c r="B20" i="102"/>
  <c r="V19" i="102"/>
  <c r="D19" i="102"/>
  <c r="B19" i="102"/>
  <c r="V18" i="102"/>
  <c r="D18" i="102"/>
  <c r="B18" i="102"/>
  <c r="V17" i="102"/>
  <c r="D17" i="102"/>
  <c r="B17" i="102"/>
  <c r="V16" i="102"/>
  <c r="D16" i="102"/>
  <c r="B16" i="102"/>
  <c r="V15" i="102"/>
  <c r="D15" i="102"/>
  <c r="B15" i="102"/>
  <c r="V14" i="102"/>
  <c r="D14" i="102"/>
  <c r="B14" i="102"/>
  <c r="V13" i="102"/>
  <c r="D13" i="102"/>
  <c r="B13" i="102"/>
  <c r="V12" i="102"/>
  <c r="O6" i="102"/>
  <c r="O2" i="102"/>
  <c r="U2" i="102"/>
  <c r="O10" i="102"/>
  <c r="O12" i="102"/>
  <c r="D12" i="102"/>
  <c r="B12" i="102"/>
  <c r="V11" i="102"/>
  <c r="D11" i="102"/>
  <c r="B11" i="102"/>
  <c r="V10" i="102"/>
  <c r="D10" i="102"/>
  <c r="B10" i="102"/>
  <c r="V9" i="102"/>
  <c r="Q9" i="102"/>
  <c r="D9" i="102"/>
  <c r="B9" i="102"/>
  <c r="V8" i="102"/>
  <c r="D8" i="102"/>
  <c r="B8" i="102"/>
  <c r="V7" i="102"/>
  <c r="D7" i="102"/>
  <c r="B7" i="102"/>
  <c r="V6" i="102"/>
  <c r="D6" i="102"/>
  <c r="B6" i="102"/>
  <c r="V5" i="102"/>
  <c r="D5" i="102"/>
  <c r="B5" i="102"/>
  <c r="V4" i="102"/>
  <c r="D4" i="102"/>
  <c r="B4" i="102"/>
  <c r="V3" i="102"/>
  <c r="D3" i="102"/>
  <c r="B3" i="102"/>
  <c r="V2" i="102"/>
  <c r="D2" i="102"/>
  <c r="B2" i="102"/>
  <c r="AA45" i="101"/>
  <c r="AB57" i="101"/>
  <c r="Z58" i="101"/>
  <c r="AB58" i="101"/>
  <c r="AB54" i="101"/>
  <c r="Z54" i="101"/>
  <c r="Z50" i="101"/>
  <c r="AB50" i="101"/>
  <c r="AD50" i="101"/>
  <c r="AD46" i="101"/>
  <c r="AB46" i="101"/>
  <c r="Z46" i="101"/>
  <c r="X46" i="101"/>
  <c r="V46" i="101"/>
  <c r="T46" i="101"/>
  <c r="R46" i="101"/>
  <c r="Z57" i="101"/>
  <c r="Z53" i="101"/>
  <c r="Z49" i="101"/>
  <c r="AB49" i="101"/>
  <c r="AB53" i="101"/>
  <c r="AD53" i="101"/>
  <c r="AD49" i="101"/>
  <c r="AD45" i="101"/>
  <c r="AB45" i="101"/>
  <c r="Z45" i="101"/>
  <c r="X45" i="101"/>
  <c r="V45" i="101"/>
  <c r="T45" i="101"/>
  <c r="R45" i="101"/>
  <c r="R44" i="101"/>
  <c r="T44" i="101"/>
  <c r="V44" i="101"/>
  <c r="X44" i="101"/>
  <c r="AD52" i="101"/>
  <c r="AD48" i="101"/>
  <c r="AD44" i="101"/>
  <c r="AB44" i="101"/>
  <c r="AB48" i="101"/>
  <c r="AB52" i="101"/>
  <c r="AB56" i="101"/>
  <c r="Z56" i="101"/>
  <c r="Z52" i="101"/>
  <c r="Z48" i="101"/>
  <c r="Z44" i="101"/>
  <c r="Y45" i="101"/>
  <c r="W43" i="101"/>
  <c r="W45" i="101"/>
  <c r="U43" i="101"/>
  <c r="U45" i="101"/>
  <c r="Q43" i="101"/>
  <c r="Q45" i="101"/>
  <c r="AA55" i="101"/>
  <c r="AA58" i="101"/>
  <c r="Y57" i="101"/>
  <c r="Y58" i="101"/>
  <c r="AB55" i="101"/>
  <c r="Z55" i="101"/>
  <c r="AA51" i="101"/>
  <c r="AA53" i="101"/>
  <c r="AA54" i="101"/>
  <c r="Y51" i="101"/>
  <c r="Y53" i="101"/>
  <c r="Y54" i="101"/>
  <c r="AC51" i="101"/>
  <c r="AC53" i="101"/>
  <c r="AD51" i="101"/>
  <c r="AB51" i="101"/>
  <c r="Z51" i="101"/>
  <c r="AC47" i="101"/>
  <c r="AC50" i="101"/>
  <c r="AA47" i="101"/>
  <c r="AA50" i="101"/>
  <c r="Y47" i="101"/>
  <c r="Y50" i="101"/>
  <c r="AD47" i="101"/>
  <c r="AB47" i="101"/>
  <c r="Z47" i="101"/>
  <c r="W46" i="101"/>
  <c r="S43" i="101"/>
  <c r="S45" i="101"/>
  <c r="S46" i="101"/>
  <c r="Q46" i="101"/>
  <c r="AG43" i="101"/>
  <c r="G43" i="101"/>
  <c r="Y43" i="101"/>
  <c r="O45" i="101"/>
  <c r="O46" i="101"/>
  <c r="AE43" i="101"/>
  <c r="AD43" i="101"/>
  <c r="AB43" i="101"/>
  <c r="Z43" i="101"/>
  <c r="X43" i="101"/>
  <c r="V43" i="101"/>
  <c r="T43" i="101"/>
  <c r="R43" i="101"/>
  <c r="L43" i="101"/>
  <c r="K43" i="101"/>
  <c r="H43" i="101"/>
  <c r="D43" i="101"/>
  <c r="C43" i="101"/>
  <c r="A43" i="101"/>
  <c r="AI8" i="101"/>
  <c r="AH9" i="101"/>
  <c r="AJ6" i="101"/>
  <c r="AI6" i="101"/>
  <c r="AH6" i="101"/>
  <c r="AK3" i="101"/>
  <c r="AJ3" i="101"/>
  <c r="AK6" i="100"/>
  <c r="V46" i="100"/>
  <c r="V45" i="100"/>
  <c r="V44" i="100"/>
  <c r="T46" i="100"/>
  <c r="T45" i="100"/>
  <c r="T44" i="100"/>
  <c r="R46" i="100"/>
  <c r="R45" i="100"/>
  <c r="R44" i="100"/>
  <c r="Y43" i="100"/>
  <c r="AC47" i="100"/>
  <c r="F43" i="100"/>
  <c r="U43" i="100"/>
  <c r="S43" i="100"/>
  <c r="M44" i="100"/>
  <c r="O3" i="100"/>
  <c r="O43" i="100"/>
  <c r="O45" i="100"/>
  <c r="S45" i="100"/>
  <c r="Q2" i="99"/>
  <c r="AG3" i="100"/>
  <c r="AA55" i="100"/>
  <c r="AA58" i="100"/>
  <c r="Y55" i="100"/>
  <c r="Y57" i="100"/>
  <c r="Y58" i="100"/>
  <c r="AB55" i="100"/>
  <c r="Z55" i="100"/>
  <c r="AA51" i="100"/>
  <c r="AA53" i="100"/>
  <c r="AA54" i="100"/>
  <c r="Y51" i="100"/>
  <c r="Y53" i="100"/>
  <c r="Y54" i="100"/>
  <c r="AC51" i="100"/>
  <c r="AC53" i="100"/>
  <c r="AD51" i="100"/>
  <c r="AB51" i="100"/>
  <c r="Z51" i="100"/>
  <c r="AC50" i="100"/>
  <c r="AA47" i="100"/>
  <c r="AA50" i="100"/>
  <c r="Y47" i="100"/>
  <c r="Y50" i="100"/>
  <c r="AD47" i="100"/>
  <c r="AB47" i="100"/>
  <c r="Z47" i="100"/>
  <c r="W43" i="100"/>
  <c r="W46" i="100"/>
  <c r="S46" i="100"/>
  <c r="Q43" i="100"/>
  <c r="Q46" i="100"/>
  <c r="AG43" i="100"/>
  <c r="G43" i="100"/>
  <c r="I43" i="100"/>
  <c r="AA43" i="100"/>
  <c r="AC43" i="100"/>
  <c r="O46" i="100"/>
  <c r="N44" i="100"/>
  <c r="AE43" i="100"/>
  <c r="AD43" i="100"/>
  <c r="AB43" i="100"/>
  <c r="Z43" i="100"/>
  <c r="X43" i="100"/>
  <c r="V43" i="100"/>
  <c r="T43" i="100"/>
  <c r="R43" i="100"/>
  <c r="L43" i="100"/>
  <c r="K43" i="100"/>
  <c r="H43" i="100"/>
  <c r="D43" i="100"/>
  <c r="C43" i="100"/>
  <c r="A43" i="100"/>
  <c r="AI8" i="100"/>
  <c r="AH9" i="100"/>
  <c r="AJ6" i="100"/>
  <c r="AI6" i="100"/>
  <c r="AH6" i="100"/>
  <c r="AK3" i="100"/>
  <c r="AJ3" i="100"/>
  <c r="N44" i="94"/>
  <c r="M44" i="94"/>
  <c r="AA55" i="94"/>
  <c r="AA58" i="94"/>
  <c r="W43" i="94"/>
  <c r="AA47" i="94"/>
  <c r="S43" i="94"/>
  <c r="F43" i="94"/>
  <c r="AK6" i="94"/>
  <c r="AG43" i="94"/>
  <c r="O3" i="94"/>
  <c r="O43" i="94"/>
  <c r="O46" i="94"/>
  <c r="AC50" i="94"/>
  <c r="AA50" i="94"/>
  <c r="Y50" i="94"/>
  <c r="Y49" i="94"/>
  <c r="AA54" i="94"/>
  <c r="Y54" i="94"/>
  <c r="Y58" i="94"/>
  <c r="S46" i="94"/>
  <c r="T43" i="94"/>
  <c r="U43" i="94"/>
  <c r="U45" i="94"/>
  <c r="U46" i="94"/>
  <c r="V43" i="94"/>
  <c r="Q43" i="94"/>
  <c r="Q45" i="94"/>
  <c r="Q46" i="94"/>
  <c r="W46" i="94"/>
  <c r="R43" i="94"/>
  <c r="X43" i="94"/>
  <c r="AC47" i="94"/>
  <c r="G43" i="94"/>
  <c r="I43" i="94"/>
  <c r="Y43" i="94"/>
  <c r="AA43" i="94"/>
  <c r="AC43" i="94"/>
  <c r="Y47" i="94"/>
  <c r="Y51" i="94"/>
  <c r="AA51" i="94"/>
  <c r="AC51" i="94"/>
  <c r="Y55" i="94"/>
  <c r="AB55" i="94"/>
  <c r="Z55" i="94"/>
  <c r="Y57" i="94"/>
  <c r="F7" i="99"/>
  <c r="F23" i="99"/>
  <c r="F18" i="99"/>
  <c r="F17" i="99"/>
  <c r="F13" i="99"/>
  <c r="F12" i="99"/>
  <c r="O28" i="99"/>
  <c r="AG3" i="94"/>
  <c r="F3" i="99"/>
  <c r="F2" i="99"/>
  <c r="O42" i="99"/>
  <c r="C2" i="99"/>
  <c r="C3" i="99"/>
  <c r="C4" i="99"/>
  <c r="C5" i="99"/>
  <c r="C6" i="99"/>
  <c r="C7" i="99"/>
  <c r="C8" i="99"/>
  <c r="C9" i="99"/>
  <c r="C10" i="99"/>
  <c r="C11" i="99"/>
  <c r="C12" i="99"/>
  <c r="C13" i="99"/>
  <c r="C14" i="99"/>
  <c r="C15" i="99"/>
  <c r="C16" i="99"/>
  <c r="C17" i="99"/>
  <c r="C18" i="99"/>
  <c r="C19" i="99"/>
  <c r="C20" i="99"/>
  <c r="C21" i="99"/>
  <c r="C22" i="99"/>
  <c r="C23" i="99"/>
  <c r="C24" i="99"/>
  <c r="C25" i="99"/>
  <c r="C26" i="99"/>
  <c r="C27" i="99"/>
  <c r="C28" i="99"/>
  <c r="C29" i="99"/>
  <c r="C30" i="99"/>
  <c r="C31" i="99"/>
  <c r="O40" i="99"/>
  <c r="V35" i="99"/>
  <c r="C35" i="99"/>
  <c r="D35" i="99"/>
  <c r="B35" i="99"/>
  <c r="V34" i="99"/>
  <c r="C34" i="99"/>
  <c r="D34" i="99"/>
  <c r="B34" i="99"/>
  <c r="V33" i="99"/>
  <c r="C33" i="99"/>
  <c r="D33" i="99"/>
  <c r="B33" i="99"/>
  <c r="V32" i="99"/>
  <c r="C32" i="99"/>
  <c r="D32" i="99"/>
  <c r="B32" i="99"/>
  <c r="V31" i="99"/>
  <c r="D31" i="99"/>
  <c r="B31" i="99"/>
  <c r="V30" i="99"/>
  <c r="D30" i="99"/>
  <c r="B30" i="99"/>
  <c r="V29" i="99"/>
  <c r="D29" i="99"/>
  <c r="B29" i="99"/>
  <c r="V28" i="99"/>
  <c r="D28" i="99"/>
  <c r="B28" i="99"/>
  <c r="V27" i="99"/>
  <c r="D27" i="99"/>
  <c r="B27" i="99"/>
  <c r="V26" i="99"/>
  <c r="D26" i="99"/>
  <c r="B26" i="99"/>
  <c r="V25" i="99"/>
  <c r="D25" i="99"/>
  <c r="B25" i="99"/>
  <c r="V24" i="99"/>
  <c r="P24" i="99"/>
  <c r="P2" i="99"/>
  <c r="P10" i="99"/>
  <c r="P12" i="99"/>
  <c r="O24" i="99"/>
  <c r="D24" i="99"/>
  <c r="B24" i="99"/>
  <c r="V23" i="99"/>
  <c r="U15" i="99"/>
  <c r="U14" i="99"/>
  <c r="U16" i="99"/>
  <c r="Q7" i="99"/>
  <c r="U17" i="99"/>
  <c r="S23" i="99"/>
  <c r="R15" i="99"/>
  <c r="R14" i="99"/>
  <c r="R16" i="99"/>
  <c r="Q17" i="99"/>
  <c r="Q23" i="99"/>
  <c r="D23" i="99"/>
  <c r="B23" i="99"/>
  <c r="V22" i="99"/>
  <c r="D22" i="99"/>
  <c r="B22" i="99"/>
  <c r="V21" i="99"/>
  <c r="D21" i="99"/>
  <c r="B21" i="99"/>
  <c r="V20" i="99"/>
  <c r="D20" i="99"/>
  <c r="B20" i="99"/>
  <c r="V19" i="99"/>
  <c r="D19" i="99"/>
  <c r="B19" i="99"/>
  <c r="V18" i="99"/>
  <c r="D18" i="99"/>
  <c r="B18" i="99"/>
  <c r="V17" i="99"/>
  <c r="D17" i="99"/>
  <c r="B17" i="99"/>
  <c r="V16" i="99"/>
  <c r="D16" i="99"/>
  <c r="B16" i="99"/>
  <c r="V15" i="99"/>
  <c r="D15" i="99"/>
  <c r="B15" i="99"/>
  <c r="V14" i="99"/>
  <c r="D14" i="99"/>
  <c r="B14" i="99"/>
  <c r="V13" i="99"/>
  <c r="D13" i="99"/>
  <c r="B13" i="99"/>
  <c r="V12" i="99"/>
  <c r="O6" i="99"/>
  <c r="O2" i="99"/>
  <c r="U2" i="99"/>
  <c r="O10" i="99"/>
  <c r="O12" i="99"/>
  <c r="D12" i="99"/>
  <c r="B12" i="99"/>
  <c r="V11" i="99"/>
  <c r="D11" i="99"/>
  <c r="B11" i="99"/>
  <c r="V10" i="99"/>
  <c r="D10" i="99"/>
  <c r="B10" i="99"/>
  <c r="V9" i="99"/>
  <c r="Q9" i="99"/>
  <c r="D9" i="99"/>
  <c r="B9" i="99"/>
  <c r="V8" i="99"/>
  <c r="D8" i="99"/>
  <c r="B8" i="99"/>
  <c r="V7" i="99"/>
  <c r="D7" i="99"/>
  <c r="B7" i="99"/>
  <c r="V6" i="99"/>
  <c r="D6" i="99"/>
  <c r="B6" i="99"/>
  <c r="V5" i="99"/>
  <c r="D5" i="99"/>
  <c r="B5" i="99"/>
  <c r="V4" i="99"/>
  <c r="D4" i="99"/>
  <c r="B4" i="99"/>
  <c r="V3" i="99"/>
  <c r="D3" i="99"/>
  <c r="B3" i="99"/>
  <c r="V2" i="99"/>
  <c r="D2" i="99"/>
  <c r="B2" i="99"/>
  <c r="F24" i="97"/>
  <c r="F29" i="97"/>
  <c r="F26" i="97"/>
  <c r="F27" i="97"/>
  <c r="F28" i="97"/>
  <c r="F31" i="97"/>
  <c r="F30" i="97"/>
  <c r="F23" i="97"/>
  <c r="F22" i="97"/>
  <c r="F21" i="97"/>
  <c r="F20" i="97"/>
  <c r="F19" i="97"/>
  <c r="F15" i="97"/>
  <c r="F14" i="97"/>
  <c r="F13" i="97"/>
  <c r="O42" i="97"/>
  <c r="F24" i="92"/>
  <c r="F23" i="92"/>
  <c r="F22" i="92"/>
  <c r="F21" i="92"/>
  <c r="F18" i="92"/>
  <c r="F17" i="92"/>
  <c r="F14" i="92"/>
  <c r="F16" i="92"/>
  <c r="F15" i="92"/>
  <c r="N44" i="93"/>
  <c r="M44" i="93"/>
  <c r="R43" i="93"/>
  <c r="T43" i="93"/>
  <c r="V43" i="93"/>
  <c r="X43" i="93"/>
  <c r="F43" i="93"/>
  <c r="G43" i="93"/>
  <c r="I43" i="93"/>
  <c r="Q43" i="93"/>
  <c r="S43" i="93"/>
  <c r="W43" i="93"/>
  <c r="Y43" i="93"/>
  <c r="AA43" i="93"/>
  <c r="AC43" i="93"/>
  <c r="Y46" i="93"/>
  <c r="Y49" i="93"/>
  <c r="AA46" i="93"/>
  <c r="AA49" i="93"/>
  <c r="AC46" i="93"/>
  <c r="AC49" i="93"/>
  <c r="U43" i="93"/>
  <c r="AK6" i="93"/>
  <c r="O28" i="97"/>
  <c r="T2" i="97"/>
  <c r="S2" i="97"/>
  <c r="Q2" i="97"/>
  <c r="C12" i="97"/>
  <c r="C13" i="97"/>
  <c r="C2" i="97"/>
  <c r="C3" i="97"/>
  <c r="C4" i="97"/>
  <c r="C5" i="97"/>
  <c r="C6" i="97"/>
  <c r="C7" i="97"/>
  <c r="C8" i="97"/>
  <c r="C9" i="97"/>
  <c r="C10" i="97"/>
  <c r="C11" i="97"/>
  <c r="C14" i="97"/>
  <c r="C15" i="97"/>
  <c r="C16" i="97"/>
  <c r="C17" i="97"/>
  <c r="C18" i="97"/>
  <c r="C19" i="97"/>
  <c r="C20" i="97"/>
  <c r="C21" i="97"/>
  <c r="C22" i="97"/>
  <c r="C23" i="97"/>
  <c r="C24" i="97"/>
  <c r="C25" i="97"/>
  <c r="C26" i="97"/>
  <c r="C27" i="97"/>
  <c r="C28" i="97"/>
  <c r="C29" i="97"/>
  <c r="C30" i="97"/>
  <c r="C31" i="97"/>
  <c r="C32" i="97"/>
  <c r="O40" i="97"/>
  <c r="V35" i="97"/>
  <c r="C35" i="97"/>
  <c r="D35" i="97"/>
  <c r="B35" i="97"/>
  <c r="V34" i="97"/>
  <c r="C34" i="97"/>
  <c r="D34" i="97"/>
  <c r="B34" i="97"/>
  <c r="V33" i="97"/>
  <c r="C33" i="97"/>
  <c r="D33" i="97"/>
  <c r="B33" i="97"/>
  <c r="V32" i="97"/>
  <c r="D32" i="97"/>
  <c r="B32" i="97"/>
  <c r="V31" i="97"/>
  <c r="D31" i="97"/>
  <c r="B31" i="97"/>
  <c r="V30" i="97"/>
  <c r="D30" i="97"/>
  <c r="B30" i="97"/>
  <c r="V29" i="97"/>
  <c r="D29" i="97"/>
  <c r="B29" i="97"/>
  <c r="V28" i="97"/>
  <c r="D28" i="97"/>
  <c r="B28" i="97"/>
  <c r="V27" i="97"/>
  <c r="D27" i="97"/>
  <c r="B27" i="97"/>
  <c r="V26" i="97"/>
  <c r="D26" i="97"/>
  <c r="B26" i="97"/>
  <c r="V25" i="97"/>
  <c r="D25" i="97"/>
  <c r="B25" i="97"/>
  <c r="V24" i="97"/>
  <c r="P24" i="97"/>
  <c r="P2" i="97"/>
  <c r="P10" i="97"/>
  <c r="P12" i="97"/>
  <c r="O24" i="97"/>
  <c r="D24" i="97"/>
  <c r="B24" i="97"/>
  <c r="V23" i="97"/>
  <c r="U15" i="97"/>
  <c r="U14" i="97"/>
  <c r="U16" i="97"/>
  <c r="Q7" i="97"/>
  <c r="U17" i="97"/>
  <c r="S23" i="97"/>
  <c r="R15" i="97"/>
  <c r="R16" i="97"/>
  <c r="Q17" i="97"/>
  <c r="Q23" i="97"/>
  <c r="D23" i="97"/>
  <c r="B23" i="97"/>
  <c r="V22" i="97"/>
  <c r="D22" i="97"/>
  <c r="B22" i="97"/>
  <c r="V21" i="97"/>
  <c r="D21" i="97"/>
  <c r="B21" i="97"/>
  <c r="V20" i="97"/>
  <c r="D20" i="97"/>
  <c r="B20" i="97"/>
  <c r="V19" i="97"/>
  <c r="D19" i="97"/>
  <c r="B19" i="97"/>
  <c r="V18" i="97"/>
  <c r="D18" i="97"/>
  <c r="B18" i="97"/>
  <c r="V17" i="97"/>
  <c r="D17" i="97"/>
  <c r="B17" i="97"/>
  <c r="V16" i="97"/>
  <c r="D16" i="97"/>
  <c r="B16" i="97"/>
  <c r="V15" i="97"/>
  <c r="D15" i="97"/>
  <c r="B15" i="97"/>
  <c r="V14" i="97"/>
  <c r="D14" i="97"/>
  <c r="B14" i="97"/>
  <c r="V13" i="97"/>
  <c r="D13" i="97"/>
  <c r="B13" i="97"/>
  <c r="V12" i="97"/>
  <c r="O4" i="97"/>
  <c r="O6" i="97"/>
  <c r="O2" i="97"/>
  <c r="U2" i="97"/>
  <c r="O10" i="97"/>
  <c r="O12" i="97"/>
  <c r="D12" i="97"/>
  <c r="B12" i="97"/>
  <c r="V11" i="97"/>
  <c r="D11" i="97"/>
  <c r="B11" i="97"/>
  <c r="V10" i="97"/>
  <c r="D10" i="97"/>
  <c r="B10" i="97"/>
  <c r="V9" i="97"/>
  <c r="Q9" i="97"/>
  <c r="D9" i="97"/>
  <c r="B9" i="97"/>
  <c r="V8" i="97"/>
  <c r="D8" i="97"/>
  <c r="B8" i="97"/>
  <c r="V7" i="97"/>
  <c r="D7" i="97"/>
  <c r="B7" i="97"/>
  <c r="V6" i="97"/>
  <c r="D6" i="97"/>
  <c r="B6" i="97"/>
  <c r="V5" i="97"/>
  <c r="D5" i="97"/>
  <c r="B5" i="97"/>
  <c r="V4" i="97"/>
  <c r="D4" i="97"/>
  <c r="B4" i="97"/>
  <c r="V3" i="97"/>
  <c r="D3" i="97"/>
  <c r="B3" i="97"/>
  <c r="V2" i="97"/>
  <c r="D2" i="97"/>
  <c r="B2" i="97"/>
  <c r="Q17" i="87"/>
  <c r="R14" i="88"/>
  <c r="P14" i="88"/>
  <c r="O37" i="89"/>
  <c r="O16" i="88"/>
  <c r="O14" i="88"/>
  <c r="F12" i="92"/>
  <c r="F8" i="92"/>
  <c r="F11" i="92"/>
  <c r="F10" i="92"/>
  <c r="F9" i="92"/>
  <c r="F7" i="92"/>
  <c r="F5" i="92"/>
  <c r="F3" i="92"/>
  <c r="AG3" i="93"/>
  <c r="AG43" i="93"/>
  <c r="O3" i="93"/>
  <c r="O43" i="93"/>
  <c r="F2" i="92"/>
  <c r="O42" i="92"/>
  <c r="AD35" i="89"/>
  <c r="AI22" i="93"/>
  <c r="AI21" i="93"/>
  <c r="AI20" i="93"/>
  <c r="AI19" i="93"/>
  <c r="AI18" i="93"/>
  <c r="AI17" i="93"/>
  <c r="AI16" i="93"/>
  <c r="AI15" i="93"/>
  <c r="AI14" i="93"/>
  <c r="AI13" i="93"/>
  <c r="AI12" i="93"/>
  <c r="AI11" i="93"/>
  <c r="Z35" i="89"/>
  <c r="F32" i="88"/>
  <c r="F13" i="88"/>
  <c r="O28" i="92"/>
  <c r="U15" i="92"/>
  <c r="U14" i="92"/>
  <c r="U16" i="92"/>
  <c r="Q7" i="92"/>
  <c r="U17" i="92"/>
  <c r="S23" i="92"/>
  <c r="R15" i="92"/>
  <c r="R16" i="92"/>
  <c r="Q17" i="92"/>
  <c r="P24" i="92"/>
  <c r="Q23" i="92"/>
  <c r="P2" i="88"/>
  <c r="P10" i="88"/>
  <c r="R15" i="88"/>
  <c r="R16" i="88"/>
  <c r="Q17" i="88"/>
  <c r="U15" i="87"/>
  <c r="U14" i="87"/>
  <c r="U16" i="87"/>
  <c r="U17" i="87"/>
  <c r="S23" i="87"/>
  <c r="U15" i="88"/>
  <c r="U14" i="88"/>
  <c r="U16" i="88"/>
  <c r="U17" i="88"/>
  <c r="S23" i="88"/>
  <c r="O28" i="88"/>
  <c r="Q7" i="88"/>
  <c r="Q7" i="77"/>
  <c r="O28" i="77"/>
  <c r="S2" i="77"/>
  <c r="T2" i="77"/>
  <c r="T2" i="81"/>
  <c r="Q7" i="87"/>
  <c r="C2" i="88"/>
  <c r="F3" i="88"/>
  <c r="C3" i="88"/>
  <c r="F4" i="88"/>
  <c r="C4" i="88"/>
  <c r="F5" i="88"/>
  <c r="C5" i="88"/>
  <c r="F6" i="88"/>
  <c r="C6" i="88"/>
  <c r="F7" i="88"/>
  <c r="C7" i="88"/>
  <c r="F8" i="88"/>
  <c r="C8" i="88"/>
  <c r="C9" i="88"/>
  <c r="F10" i="88"/>
  <c r="C10" i="88"/>
  <c r="F11" i="88"/>
  <c r="C11" i="88"/>
  <c r="F12" i="88"/>
  <c r="C12" i="88"/>
  <c r="C13" i="88"/>
  <c r="C14" i="88"/>
  <c r="C15" i="88"/>
  <c r="C16" i="88"/>
  <c r="C17" i="88"/>
  <c r="C18" i="88"/>
  <c r="C19" i="88"/>
  <c r="C20" i="88"/>
  <c r="C21" i="88"/>
  <c r="C22" i="88"/>
  <c r="C23" i="88"/>
  <c r="C24" i="88"/>
  <c r="C25" i="88"/>
  <c r="C26" i="88"/>
  <c r="C27" i="88"/>
  <c r="C28" i="88"/>
  <c r="C29" i="88"/>
  <c r="C30" i="88"/>
  <c r="C31" i="88"/>
  <c r="C32" i="88"/>
  <c r="O40" i="88"/>
  <c r="C18" i="92"/>
  <c r="C19" i="92"/>
  <c r="C20" i="92"/>
  <c r="C21" i="92"/>
  <c r="C22" i="92"/>
  <c r="C23" i="92"/>
  <c r="C24" i="92"/>
  <c r="C25" i="92"/>
  <c r="C26" i="92"/>
  <c r="C27" i="92"/>
  <c r="C28" i="92"/>
  <c r="C29" i="92"/>
  <c r="C30" i="92"/>
  <c r="C31" i="92"/>
  <c r="C2" i="92"/>
  <c r="C3" i="92"/>
  <c r="C4" i="92"/>
  <c r="C5" i="92"/>
  <c r="C6" i="92"/>
  <c r="C7" i="92"/>
  <c r="C8" i="92"/>
  <c r="C9" i="92"/>
  <c r="C10" i="92"/>
  <c r="C11" i="92"/>
  <c r="C12" i="92"/>
  <c r="C13" i="92"/>
  <c r="C14" i="92"/>
  <c r="C15" i="92"/>
  <c r="C16" i="92"/>
  <c r="C17" i="92"/>
  <c r="O40" i="92"/>
  <c r="AC53" i="94"/>
  <c r="AA53" i="94"/>
  <c r="Y53" i="94"/>
  <c r="AD51" i="94"/>
  <c r="AB51" i="94"/>
  <c r="Z51" i="94"/>
  <c r="AD47" i="94"/>
  <c r="AB47" i="94"/>
  <c r="Z47" i="94"/>
  <c r="AC45" i="94"/>
  <c r="AA45" i="94"/>
  <c r="Y45" i="94"/>
  <c r="AE43" i="94"/>
  <c r="AD43" i="94"/>
  <c r="AB43" i="94"/>
  <c r="Z43" i="94"/>
  <c r="L43" i="94"/>
  <c r="K43" i="94"/>
  <c r="H43" i="94"/>
  <c r="D43" i="94"/>
  <c r="C43" i="94"/>
  <c r="A43" i="94"/>
  <c r="AI8" i="94"/>
  <c r="AH9" i="94"/>
  <c r="AJ6" i="94"/>
  <c r="AI6" i="94"/>
  <c r="AH6" i="94"/>
  <c r="AK3" i="94"/>
  <c r="AJ3" i="94"/>
  <c r="S2" i="92"/>
  <c r="T2" i="92"/>
  <c r="Q2" i="92"/>
  <c r="D43" i="93"/>
  <c r="H43" i="93"/>
  <c r="K43" i="93"/>
  <c r="AI6" i="93"/>
  <c r="Z43" i="93"/>
  <c r="Z49" i="93"/>
  <c r="AD43" i="93"/>
  <c r="AB43" i="93"/>
  <c r="AB46" i="93"/>
  <c r="AB49" i="93"/>
  <c r="AD49" i="93"/>
  <c r="AD46" i="93"/>
  <c r="AC51" i="93"/>
  <c r="AC48" i="93"/>
  <c r="AA51" i="93"/>
  <c r="AA48" i="93"/>
  <c r="Z46" i="93"/>
  <c r="AC45" i="93"/>
  <c r="AA45" i="93"/>
  <c r="W45" i="93"/>
  <c r="U45" i="93"/>
  <c r="S45" i="93"/>
  <c r="Q45" i="93"/>
  <c r="AE43" i="93"/>
  <c r="L43" i="93"/>
  <c r="C43" i="93"/>
  <c r="A43" i="93"/>
  <c r="AI8" i="93"/>
  <c r="AH9" i="93"/>
  <c r="AJ6" i="93"/>
  <c r="AH6" i="93"/>
  <c r="AJ3" i="93"/>
  <c r="V35" i="92"/>
  <c r="C35" i="92"/>
  <c r="D35" i="92"/>
  <c r="B35" i="92"/>
  <c r="V34" i="92"/>
  <c r="C34" i="92"/>
  <c r="D34" i="92"/>
  <c r="B34" i="92"/>
  <c r="V33" i="92"/>
  <c r="C33" i="92"/>
  <c r="D33" i="92"/>
  <c r="B33" i="92"/>
  <c r="V32" i="92"/>
  <c r="C32" i="92"/>
  <c r="D32" i="92"/>
  <c r="B32" i="92"/>
  <c r="V31" i="92"/>
  <c r="D31" i="92"/>
  <c r="B31" i="92"/>
  <c r="V30" i="92"/>
  <c r="D30" i="92"/>
  <c r="B30" i="92"/>
  <c r="V29" i="92"/>
  <c r="D29" i="92"/>
  <c r="B29" i="92"/>
  <c r="V28" i="92"/>
  <c r="D28" i="92"/>
  <c r="B28" i="92"/>
  <c r="V27" i="92"/>
  <c r="D27" i="92"/>
  <c r="B27" i="92"/>
  <c r="V26" i="92"/>
  <c r="D26" i="92"/>
  <c r="B26" i="92"/>
  <c r="V25" i="92"/>
  <c r="D25" i="92"/>
  <c r="B25" i="92"/>
  <c r="V24" i="92"/>
  <c r="P2" i="92"/>
  <c r="P10" i="92"/>
  <c r="P12" i="92"/>
  <c r="O24" i="92"/>
  <c r="D24" i="92"/>
  <c r="B24" i="92"/>
  <c r="V23" i="92"/>
  <c r="D23" i="92"/>
  <c r="B23" i="92"/>
  <c r="V22" i="92"/>
  <c r="D22" i="92"/>
  <c r="B22" i="92"/>
  <c r="V21" i="92"/>
  <c r="D21" i="92"/>
  <c r="B21" i="92"/>
  <c r="V20" i="92"/>
  <c r="D20" i="92"/>
  <c r="B20" i="92"/>
  <c r="V19" i="92"/>
  <c r="D19" i="92"/>
  <c r="B19" i="92"/>
  <c r="V18" i="92"/>
  <c r="D18" i="92"/>
  <c r="B18" i="92"/>
  <c r="V17" i="92"/>
  <c r="D17" i="92"/>
  <c r="B17" i="92"/>
  <c r="V16" i="92"/>
  <c r="D16" i="92"/>
  <c r="B16" i="92"/>
  <c r="V15" i="92"/>
  <c r="D15" i="92"/>
  <c r="B15" i="92"/>
  <c r="V14" i="92"/>
  <c r="D14" i="92"/>
  <c r="B14" i="92"/>
  <c r="V13" i="92"/>
  <c r="D13" i="92"/>
  <c r="B13" i="92"/>
  <c r="V12" i="92"/>
  <c r="O4" i="92"/>
  <c r="O6" i="92"/>
  <c r="O2" i="92"/>
  <c r="U2" i="92"/>
  <c r="O10" i="92"/>
  <c r="D12" i="92"/>
  <c r="B12" i="92"/>
  <c r="V11" i="92"/>
  <c r="D11" i="92"/>
  <c r="B11" i="92"/>
  <c r="V10" i="92"/>
  <c r="D10" i="92"/>
  <c r="B10" i="92"/>
  <c r="V9" i="92"/>
  <c r="Q9" i="92"/>
  <c r="D9" i="92"/>
  <c r="B9" i="92"/>
  <c r="V8" i="92"/>
  <c r="D8" i="92"/>
  <c r="B8" i="92"/>
  <c r="V7" i="92"/>
  <c r="D7" i="92"/>
  <c r="B7" i="92"/>
  <c r="V6" i="92"/>
  <c r="D6" i="92"/>
  <c r="B6" i="92"/>
  <c r="V5" i="92"/>
  <c r="D5" i="92"/>
  <c r="B5" i="92"/>
  <c r="V4" i="92"/>
  <c r="D4" i="92"/>
  <c r="B4" i="92"/>
  <c r="V3" i="92"/>
  <c r="D3" i="92"/>
  <c r="B3" i="92"/>
  <c r="V2" i="92"/>
  <c r="D2" i="92"/>
  <c r="B2" i="92"/>
  <c r="F35" i="89"/>
  <c r="G35" i="89"/>
  <c r="I35" i="89"/>
  <c r="M35" i="89"/>
  <c r="Q35" i="89"/>
  <c r="S35" i="89"/>
  <c r="W35" i="89"/>
  <c r="Y35" i="89"/>
  <c r="AA35" i="89"/>
  <c r="AC35" i="89"/>
  <c r="Y38" i="89"/>
  <c r="Y41" i="89"/>
  <c r="AA38" i="89"/>
  <c r="AA41" i="89"/>
  <c r="AA44" i="89"/>
  <c r="AA47" i="89"/>
  <c r="U35" i="89"/>
  <c r="AK6" i="89"/>
  <c r="N35" i="89"/>
  <c r="Q2" i="88"/>
  <c r="O12" i="86"/>
  <c r="P12" i="86"/>
  <c r="Q7" i="86"/>
  <c r="U14" i="86"/>
  <c r="R14" i="86"/>
  <c r="R14" i="77"/>
  <c r="P14" i="87"/>
  <c r="O14" i="87"/>
  <c r="AG35" i="89"/>
  <c r="O3" i="89"/>
  <c r="O35" i="89"/>
  <c r="P14" i="86"/>
  <c r="O14" i="86"/>
  <c r="Z41" i="89"/>
  <c r="Y43" i="89"/>
  <c r="Z38" i="89"/>
  <c r="Y40" i="89"/>
  <c r="O4" i="87"/>
  <c r="AB47" i="89"/>
  <c r="AA49" i="89"/>
  <c r="AB41" i="89"/>
  <c r="AB38" i="89"/>
  <c r="AB44" i="89"/>
  <c r="AA46" i="89"/>
  <c r="AA43" i="89"/>
  <c r="AA40" i="89"/>
  <c r="F17" i="87"/>
  <c r="F16" i="87"/>
  <c r="F15" i="87"/>
  <c r="F14" i="87"/>
  <c r="F12" i="87"/>
  <c r="F7" i="87"/>
  <c r="F13" i="87"/>
  <c r="F10" i="87"/>
  <c r="F9" i="87"/>
  <c r="F8" i="87"/>
  <c r="AC37" i="89"/>
  <c r="AA37" i="89"/>
  <c r="Y37" i="89"/>
  <c r="W37" i="89"/>
  <c r="U37" i="89"/>
  <c r="S37" i="89"/>
  <c r="Q37" i="89"/>
  <c r="AE35" i="89"/>
  <c r="L35" i="89"/>
  <c r="K35" i="89"/>
  <c r="H35" i="89"/>
  <c r="D35" i="89"/>
  <c r="C35" i="89"/>
  <c r="A35" i="89"/>
  <c r="AI8" i="89"/>
  <c r="AH9" i="89"/>
  <c r="AJ6" i="89"/>
  <c r="AI6" i="89"/>
  <c r="AH6" i="89"/>
  <c r="AK3" i="89"/>
  <c r="AJ3" i="89"/>
  <c r="F6" i="87"/>
  <c r="F5" i="87"/>
  <c r="C5" i="87"/>
  <c r="C6" i="87"/>
  <c r="C2" i="87"/>
  <c r="C7" i="87"/>
  <c r="C8" i="87"/>
  <c r="C9" i="87"/>
  <c r="C10" i="87"/>
  <c r="C12" i="87"/>
  <c r="C13" i="87"/>
  <c r="C14" i="87"/>
  <c r="C15" i="87"/>
  <c r="C16" i="87"/>
  <c r="C17" i="87"/>
  <c r="C18" i="87"/>
  <c r="O40" i="87"/>
  <c r="O40" i="86"/>
  <c r="M35" i="84"/>
  <c r="N35" i="84"/>
  <c r="T2" i="88"/>
  <c r="S2" i="88"/>
  <c r="O42" i="88"/>
  <c r="V35" i="88"/>
  <c r="C35" i="88"/>
  <c r="D35" i="88"/>
  <c r="B35" i="88"/>
  <c r="V34" i="88"/>
  <c r="C34" i="88"/>
  <c r="D34" i="88"/>
  <c r="B34" i="88"/>
  <c r="V33" i="88"/>
  <c r="C33" i="88"/>
  <c r="D33" i="88"/>
  <c r="B33" i="88"/>
  <c r="V32" i="88"/>
  <c r="D32" i="88"/>
  <c r="B32" i="88"/>
  <c r="V31" i="88"/>
  <c r="D31" i="88"/>
  <c r="B31" i="88"/>
  <c r="V30" i="88"/>
  <c r="D30" i="88"/>
  <c r="B30" i="88"/>
  <c r="V29" i="88"/>
  <c r="D29" i="88"/>
  <c r="B29" i="88"/>
  <c r="V28" i="88"/>
  <c r="D28" i="88"/>
  <c r="B28" i="88"/>
  <c r="V27" i="88"/>
  <c r="D27" i="88"/>
  <c r="B27" i="88"/>
  <c r="V26" i="88"/>
  <c r="D26" i="88"/>
  <c r="B26" i="88"/>
  <c r="V25" i="88"/>
  <c r="D25" i="88"/>
  <c r="B25" i="88"/>
  <c r="V24" i="88"/>
  <c r="P24" i="88"/>
  <c r="P12" i="88"/>
  <c r="O24" i="88"/>
  <c r="D24" i="88"/>
  <c r="B24" i="88"/>
  <c r="V23" i="88"/>
  <c r="Q23" i="88"/>
  <c r="D23" i="88"/>
  <c r="B23" i="88"/>
  <c r="V22" i="88"/>
  <c r="D22" i="88"/>
  <c r="B22" i="88"/>
  <c r="V21" i="88"/>
  <c r="D21" i="88"/>
  <c r="B21" i="88"/>
  <c r="V20" i="88"/>
  <c r="D20" i="88"/>
  <c r="B20" i="88"/>
  <c r="V19" i="88"/>
  <c r="D19" i="88"/>
  <c r="B19" i="88"/>
  <c r="V18" i="88"/>
  <c r="D18" i="88"/>
  <c r="B18" i="88"/>
  <c r="V17" i="88"/>
  <c r="D17" i="88"/>
  <c r="B17" i="88"/>
  <c r="V16" i="88"/>
  <c r="AK6" i="84"/>
  <c r="O3" i="84"/>
  <c r="O35" i="84"/>
  <c r="O37" i="84"/>
  <c r="D16" i="88"/>
  <c r="B16" i="88"/>
  <c r="V15" i="88"/>
  <c r="D15" i="88"/>
  <c r="B15" i="88"/>
  <c r="V14" i="88"/>
  <c r="D14" i="88"/>
  <c r="B14" i="88"/>
  <c r="V13" i="88"/>
  <c r="D13" i="88"/>
  <c r="B13" i="88"/>
  <c r="V12" i="88"/>
  <c r="O4" i="88"/>
  <c r="O6" i="88"/>
  <c r="O2" i="88"/>
  <c r="U2" i="88"/>
  <c r="O10" i="88"/>
  <c r="O12" i="88"/>
  <c r="D12" i="88"/>
  <c r="B12" i="88"/>
  <c r="V11" i="88"/>
  <c r="D11" i="88"/>
  <c r="B11" i="88"/>
  <c r="V10" i="88"/>
  <c r="D10" i="88"/>
  <c r="B10" i="88"/>
  <c r="V9" i="88"/>
  <c r="Q9" i="88"/>
  <c r="D9" i="88"/>
  <c r="B9" i="88"/>
  <c r="V8" i="88"/>
  <c r="D8" i="88"/>
  <c r="B8" i="88"/>
  <c r="V7" i="88"/>
  <c r="D7" i="88"/>
  <c r="B7" i="88"/>
  <c r="V6" i="88"/>
  <c r="D6" i="88"/>
  <c r="B6" i="88"/>
  <c r="V5" i="88"/>
  <c r="D5" i="88"/>
  <c r="B5" i="88"/>
  <c r="V4" i="88"/>
  <c r="D4" i="88"/>
  <c r="B4" i="88"/>
  <c r="V3" i="88"/>
  <c r="D3" i="88"/>
  <c r="B3" i="88"/>
  <c r="V2" i="88"/>
  <c r="D2" i="88"/>
  <c r="B2" i="88"/>
  <c r="S23" i="75"/>
  <c r="Q23" i="75"/>
  <c r="Q2" i="87"/>
  <c r="Q2" i="86"/>
  <c r="S2" i="86"/>
  <c r="P14" i="75"/>
  <c r="AG35" i="73"/>
  <c r="O3" i="73"/>
  <c r="O35" i="73"/>
  <c r="O37" i="73"/>
  <c r="O16" i="75"/>
  <c r="O14" i="75"/>
  <c r="Q2" i="77"/>
  <c r="Q2" i="81"/>
  <c r="T2" i="86"/>
  <c r="T2" i="87"/>
  <c r="S2" i="87"/>
  <c r="S2" i="81"/>
  <c r="O28" i="81"/>
  <c r="O28" i="87"/>
  <c r="O42" i="87"/>
  <c r="C3" i="87"/>
  <c r="C4" i="87"/>
  <c r="C11" i="87"/>
  <c r="C19" i="87"/>
  <c r="C20" i="87"/>
  <c r="C21" i="87"/>
  <c r="C22" i="87"/>
  <c r="C23" i="87"/>
  <c r="C24" i="87"/>
  <c r="C25" i="87"/>
  <c r="C26" i="87"/>
  <c r="C27" i="87"/>
  <c r="C28" i="87"/>
  <c r="C29" i="87"/>
  <c r="V35" i="87"/>
  <c r="C35" i="87"/>
  <c r="D35" i="87"/>
  <c r="B35" i="87"/>
  <c r="V34" i="87"/>
  <c r="C34" i="87"/>
  <c r="D34" i="87"/>
  <c r="B34" i="87"/>
  <c r="V33" i="87"/>
  <c r="C33" i="87"/>
  <c r="D33" i="87"/>
  <c r="B33" i="87"/>
  <c r="V32" i="87"/>
  <c r="C32" i="87"/>
  <c r="D32" i="87"/>
  <c r="B32" i="87"/>
  <c r="V31" i="87"/>
  <c r="C31" i="87"/>
  <c r="D31" i="87"/>
  <c r="B31" i="87"/>
  <c r="V30" i="87"/>
  <c r="C30" i="87"/>
  <c r="D30" i="87"/>
  <c r="B30" i="87"/>
  <c r="V29" i="87"/>
  <c r="D29" i="87"/>
  <c r="B29" i="87"/>
  <c r="V28" i="87"/>
  <c r="D28" i="87"/>
  <c r="B28" i="87"/>
  <c r="V27" i="87"/>
  <c r="D27" i="87"/>
  <c r="B27" i="87"/>
  <c r="V26" i="87"/>
  <c r="D26" i="87"/>
  <c r="B26" i="87"/>
  <c r="V25" i="87"/>
  <c r="D25" i="87"/>
  <c r="B25" i="87"/>
  <c r="V24" i="87"/>
  <c r="P24" i="87"/>
  <c r="P2" i="87"/>
  <c r="P10" i="87"/>
  <c r="P12" i="87"/>
  <c r="O24" i="87"/>
  <c r="D24" i="87"/>
  <c r="B24" i="87"/>
  <c r="V23" i="87"/>
  <c r="R15" i="87"/>
  <c r="R14" i="87"/>
  <c r="R16" i="87"/>
  <c r="Q23" i="87"/>
  <c r="D23" i="87"/>
  <c r="B23" i="87"/>
  <c r="V22" i="87"/>
  <c r="D22" i="87"/>
  <c r="B22" i="87"/>
  <c r="V21" i="87"/>
  <c r="D21" i="87"/>
  <c r="B21" i="87"/>
  <c r="V20" i="87"/>
  <c r="D20" i="87"/>
  <c r="B20" i="87"/>
  <c r="V19" i="87"/>
  <c r="D19" i="87"/>
  <c r="B19" i="87"/>
  <c r="V18" i="87"/>
  <c r="D18" i="87"/>
  <c r="B18" i="87"/>
  <c r="V17" i="87"/>
  <c r="D17" i="87"/>
  <c r="B17" i="87"/>
  <c r="V16" i="87"/>
  <c r="D16" i="87"/>
  <c r="B16" i="87"/>
  <c r="V15" i="87"/>
  <c r="D15" i="87"/>
  <c r="B15" i="87"/>
  <c r="V14" i="87"/>
  <c r="D14" i="87"/>
  <c r="B14" i="87"/>
  <c r="V13" i="87"/>
  <c r="D13" i="87"/>
  <c r="B13" i="87"/>
  <c r="V12" i="87"/>
  <c r="O6" i="87"/>
  <c r="O2" i="87"/>
  <c r="U2" i="87"/>
  <c r="O10" i="87"/>
  <c r="O12" i="87"/>
  <c r="D12" i="87"/>
  <c r="B12" i="87"/>
  <c r="V11" i="87"/>
  <c r="D11" i="87"/>
  <c r="B11" i="87"/>
  <c r="V10" i="87"/>
  <c r="D10" i="87"/>
  <c r="B10" i="87"/>
  <c r="V9" i="87"/>
  <c r="Q9" i="87"/>
  <c r="D9" i="87"/>
  <c r="B9" i="87"/>
  <c r="V8" i="87"/>
  <c r="D8" i="87"/>
  <c r="B8" i="87"/>
  <c r="V7" i="87"/>
  <c r="D7" i="87"/>
  <c r="B7" i="87"/>
  <c r="V6" i="87"/>
  <c r="D6" i="87"/>
  <c r="B6" i="87"/>
  <c r="V5" i="87"/>
  <c r="D5" i="87"/>
  <c r="B5" i="87"/>
  <c r="V4" i="87"/>
  <c r="D4" i="87"/>
  <c r="B4" i="87"/>
  <c r="V3" i="87"/>
  <c r="D3" i="87"/>
  <c r="B3" i="87"/>
  <c r="V2" i="87"/>
  <c r="D2" i="87"/>
  <c r="B2" i="87"/>
  <c r="O28" i="86"/>
  <c r="P14" i="81"/>
  <c r="O14" i="81"/>
  <c r="O16" i="81"/>
  <c r="F11" i="86"/>
  <c r="F10" i="86"/>
  <c r="F9" i="86"/>
  <c r="F8" i="86"/>
  <c r="F4" i="86"/>
  <c r="F6" i="86"/>
  <c r="F5" i="86"/>
  <c r="F3" i="86"/>
  <c r="F2" i="86"/>
  <c r="O42" i="86"/>
  <c r="C2" i="86"/>
  <c r="C3" i="86"/>
  <c r="C4" i="86"/>
  <c r="C5" i="86"/>
  <c r="C6" i="86"/>
  <c r="C7" i="86"/>
  <c r="C8" i="86"/>
  <c r="C9" i="86"/>
  <c r="C10" i="86"/>
  <c r="C11" i="86"/>
  <c r="C12" i="86"/>
  <c r="C13" i="86"/>
  <c r="C14" i="86"/>
  <c r="C15" i="86"/>
  <c r="C16" i="86"/>
  <c r="C17" i="86"/>
  <c r="C18" i="86"/>
  <c r="C19" i="86"/>
  <c r="C20" i="86"/>
  <c r="C21" i="86"/>
  <c r="C22" i="86"/>
  <c r="C23" i="86"/>
  <c r="C24" i="86"/>
  <c r="C25" i="86"/>
  <c r="C26" i="86"/>
  <c r="C27" i="86"/>
  <c r="C28" i="86"/>
  <c r="C29" i="86"/>
  <c r="V35" i="86"/>
  <c r="C35" i="86"/>
  <c r="D35" i="86"/>
  <c r="B35" i="86"/>
  <c r="V34" i="86"/>
  <c r="C34" i="86"/>
  <c r="D34" i="86"/>
  <c r="B34" i="86"/>
  <c r="V33" i="86"/>
  <c r="C33" i="86"/>
  <c r="D33" i="86"/>
  <c r="B33" i="86"/>
  <c r="V32" i="86"/>
  <c r="C32" i="86"/>
  <c r="D32" i="86"/>
  <c r="B32" i="86"/>
  <c r="V31" i="86"/>
  <c r="C31" i="86"/>
  <c r="D31" i="86"/>
  <c r="B31" i="86"/>
  <c r="V30" i="86"/>
  <c r="C30" i="86"/>
  <c r="D30" i="86"/>
  <c r="B30" i="86"/>
  <c r="V29" i="86"/>
  <c r="D29" i="86"/>
  <c r="B29" i="86"/>
  <c r="V28" i="86"/>
  <c r="D28" i="86"/>
  <c r="B28" i="86"/>
  <c r="V27" i="86"/>
  <c r="D27" i="86"/>
  <c r="B27" i="86"/>
  <c r="V26" i="86"/>
  <c r="D26" i="86"/>
  <c r="B26" i="86"/>
  <c r="V25" i="86"/>
  <c r="D25" i="86"/>
  <c r="B25" i="86"/>
  <c r="V24" i="86"/>
  <c r="P24" i="86"/>
  <c r="P2" i="86"/>
  <c r="P10" i="86"/>
  <c r="O24" i="86"/>
  <c r="D24" i="86"/>
  <c r="B24" i="86"/>
  <c r="V23" i="86"/>
  <c r="U15" i="86"/>
  <c r="U16" i="86"/>
  <c r="T17" i="86"/>
  <c r="S23" i="86"/>
  <c r="R15" i="86"/>
  <c r="R16" i="86"/>
  <c r="Q17" i="86"/>
  <c r="Q23" i="86"/>
  <c r="D23" i="86"/>
  <c r="B23" i="86"/>
  <c r="V22" i="86"/>
  <c r="D22" i="86"/>
  <c r="B22" i="86"/>
  <c r="V21" i="86"/>
  <c r="D21" i="86"/>
  <c r="B21" i="86"/>
  <c r="V20" i="86"/>
  <c r="D20" i="86"/>
  <c r="B20" i="86"/>
  <c r="V19" i="86"/>
  <c r="D19" i="86"/>
  <c r="B19" i="86"/>
  <c r="V18" i="86"/>
  <c r="D18" i="86"/>
  <c r="B18" i="86"/>
  <c r="V17" i="86"/>
  <c r="D17" i="86"/>
  <c r="B17" i="86"/>
  <c r="V16" i="86"/>
  <c r="D16" i="86"/>
  <c r="B16" i="86"/>
  <c r="V15" i="86"/>
  <c r="D15" i="86"/>
  <c r="B15" i="86"/>
  <c r="V14" i="86"/>
  <c r="D14" i="86"/>
  <c r="B14" i="86"/>
  <c r="V13" i="86"/>
  <c r="D13" i="86"/>
  <c r="B13" i="86"/>
  <c r="V12" i="86"/>
  <c r="O4" i="86"/>
  <c r="O6" i="86"/>
  <c r="O2" i="86"/>
  <c r="U2" i="86"/>
  <c r="O10" i="86"/>
  <c r="D12" i="86"/>
  <c r="B12" i="86"/>
  <c r="V11" i="86"/>
  <c r="D11" i="86"/>
  <c r="B11" i="86"/>
  <c r="V10" i="86"/>
  <c r="D10" i="86"/>
  <c r="B10" i="86"/>
  <c r="V9" i="86"/>
  <c r="Q9" i="86"/>
  <c r="D9" i="86"/>
  <c r="B9" i="86"/>
  <c r="V8" i="86"/>
  <c r="D8" i="86"/>
  <c r="B8" i="86"/>
  <c r="V7" i="86"/>
  <c r="D7" i="86"/>
  <c r="B7" i="86"/>
  <c r="V6" i="86"/>
  <c r="D6" i="86"/>
  <c r="B6" i="86"/>
  <c r="V5" i="86"/>
  <c r="D5" i="86"/>
  <c r="B5" i="86"/>
  <c r="V4" i="86"/>
  <c r="D4" i="86"/>
  <c r="B4" i="86"/>
  <c r="V3" i="86"/>
  <c r="D3" i="86"/>
  <c r="B3" i="86"/>
  <c r="V2" i="86"/>
  <c r="D2" i="86"/>
  <c r="B2" i="86"/>
  <c r="F27" i="81"/>
  <c r="F29" i="81"/>
  <c r="F26" i="81"/>
  <c r="F25" i="81"/>
  <c r="F24" i="81"/>
  <c r="F23" i="81"/>
  <c r="F22" i="81"/>
  <c r="F20" i="81"/>
  <c r="F19" i="81"/>
  <c r="P14" i="77"/>
  <c r="O14" i="77"/>
  <c r="O40" i="77"/>
  <c r="C19" i="81"/>
  <c r="C20" i="81"/>
  <c r="C22" i="81"/>
  <c r="C23" i="81"/>
  <c r="C24" i="81"/>
  <c r="C25" i="81"/>
  <c r="C26" i="81"/>
  <c r="C29" i="81"/>
  <c r="C27" i="81"/>
  <c r="O40" i="81"/>
  <c r="F18" i="81"/>
  <c r="F17" i="81"/>
  <c r="U35" i="84"/>
  <c r="Q35" i="84"/>
  <c r="F35" i="84"/>
  <c r="W35" i="84"/>
  <c r="S35" i="84"/>
  <c r="AG35" i="84"/>
  <c r="AC35" i="84"/>
  <c r="AC37" i="84"/>
  <c r="AA35" i="84"/>
  <c r="AA37" i="84"/>
  <c r="Y35" i="84"/>
  <c r="Y37" i="84"/>
  <c r="W37" i="84"/>
  <c r="U37" i="84"/>
  <c r="S37" i="84"/>
  <c r="Q37" i="84"/>
  <c r="G35" i="84"/>
  <c r="I35" i="84"/>
  <c r="AE35" i="84"/>
  <c r="L35" i="84"/>
  <c r="K35" i="84"/>
  <c r="H35" i="84"/>
  <c r="D35" i="84"/>
  <c r="C35" i="84"/>
  <c r="A35" i="84"/>
  <c r="AI8" i="84"/>
  <c r="AH9" i="84"/>
  <c r="AJ6" i="84"/>
  <c r="AI6" i="84"/>
  <c r="AH6" i="84"/>
  <c r="AK3" i="84"/>
  <c r="AJ3" i="84"/>
  <c r="F16" i="81"/>
  <c r="F15" i="81"/>
  <c r="F2" i="81"/>
  <c r="O42" i="81"/>
  <c r="C2" i="81"/>
  <c r="C3" i="81"/>
  <c r="C4" i="81"/>
  <c r="C5" i="81"/>
  <c r="C6" i="81"/>
  <c r="C7" i="81"/>
  <c r="C8" i="81"/>
  <c r="C9" i="81"/>
  <c r="C10" i="81"/>
  <c r="C11" i="81"/>
  <c r="C12" i="81"/>
  <c r="C13" i="81"/>
  <c r="C14" i="81"/>
  <c r="C15" i="81"/>
  <c r="C16" i="81"/>
  <c r="C17" i="81"/>
  <c r="C18" i="81"/>
  <c r="C21" i="81"/>
  <c r="C28" i="81"/>
  <c r="C30" i="81"/>
  <c r="C31" i="81"/>
  <c r="C32" i="81"/>
  <c r="V35" i="81"/>
  <c r="C35" i="81"/>
  <c r="D35" i="81"/>
  <c r="B35" i="81"/>
  <c r="V34" i="81"/>
  <c r="C34" i="81"/>
  <c r="D34" i="81"/>
  <c r="B34" i="81"/>
  <c r="V33" i="81"/>
  <c r="C33" i="81"/>
  <c r="D33" i="81"/>
  <c r="B33" i="81"/>
  <c r="V32" i="81"/>
  <c r="D32" i="81"/>
  <c r="B32" i="81"/>
  <c r="V31" i="81"/>
  <c r="D31" i="81"/>
  <c r="B31" i="81"/>
  <c r="V30" i="81"/>
  <c r="D30" i="81"/>
  <c r="B30" i="81"/>
  <c r="V29" i="81"/>
  <c r="D29" i="81"/>
  <c r="B29" i="81"/>
  <c r="V28" i="81"/>
  <c r="D28" i="81"/>
  <c r="B28" i="81"/>
  <c r="V27" i="81"/>
  <c r="D27" i="81"/>
  <c r="B27" i="81"/>
  <c r="V26" i="81"/>
  <c r="D26" i="81"/>
  <c r="B26" i="81"/>
  <c r="V25" i="81"/>
  <c r="D25" i="81"/>
  <c r="B25" i="81"/>
  <c r="V24" i="81"/>
  <c r="P24" i="81"/>
  <c r="P2" i="81"/>
  <c r="P10" i="81"/>
  <c r="P12" i="81"/>
  <c r="O24" i="81"/>
  <c r="D24" i="81"/>
  <c r="B24" i="81"/>
  <c r="V23" i="81"/>
  <c r="U15" i="81"/>
  <c r="U14" i="81"/>
  <c r="U16" i="81"/>
  <c r="T17" i="81"/>
  <c r="S23" i="81"/>
  <c r="R15" i="81"/>
  <c r="R14" i="81"/>
  <c r="R16" i="81"/>
  <c r="Q17" i="81"/>
  <c r="Q23" i="81"/>
  <c r="D23" i="81"/>
  <c r="B23" i="81"/>
  <c r="V22" i="81"/>
  <c r="D22" i="81"/>
  <c r="B22" i="81"/>
  <c r="V21" i="81"/>
  <c r="D21" i="81"/>
  <c r="B21" i="81"/>
  <c r="V20" i="81"/>
  <c r="D20" i="81"/>
  <c r="B20" i="81"/>
  <c r="V19" i="81"/>
  <c r="D19" i="81"/>
  <c r="B19" i="81"/>
  <c r="V18" i="81"/>
  <c r="D18" i="81"/>
  <c r="B18" i="81"/>
  <c r="V17" i="81"/>
  <c r="D17" i="81"/>
  <c r="B17" i="81"/>
  <c r="V16" i="81"/>
  <c r="D16" i="81"/>
  <c r="B16" i="81"/>
  <c r="V15" i="81"/>
  <c r="D15" i="81"/>
  <c r="B15" i="81"/>
  <c r="V14" i="81"/>
  <c r="D14" i="81"/>
  <c r="B14" i="81"/>
  <c r="V13" i="81"/>
  <c r="D13" i="81"/>
  <c r="B13" i="81"/>
  <c r="V12" i="81"/>
  <c r="O4" i="81"/>
  <c r="O6" i="81"/>
  <c r="O2" i="81"/>
  <c r="U2" i="81"/>
  <c r="O10" i="81"/>
  <c r="O12" i="81"/>
  <c r="D12" i="81"/>
  <c r="B12" i="81"/>
  <c r="V11" i="81"/>
  <c r="D11" i="81"/>
  <c r="B11" i="81"/>
  <c r="V10" i="81"/>
  <c r="D10" i="81"/>
  <c r="B10" i="81"/>
  <c r="V9" i="81"/>
  <c r="Q9" i="81"/>
  <c r="D9" i="81"/>
  <c r="B9" i="81"/>
  <c r="V8" i="81"/>
  <c r="D8" i="81"/>
  <c r="B8" i="81"/>
  <c r="V7" i="81"/>
  <c r="Q7" i="81"/>
  <c r="D7" i="81"/>
  <c r="B7" i="81"/>
  <c r="V6" i="81"/>
  <c r="D6" i="81"/>
  <c r="B6" i="81"/>
  <c r="V5" i="81"/>
  <c r="D5" i="81"/>
  <c r="B5" i="81"/>
  <c r="V4" i="81"/>
  <c r="D4" i="81"/>
  <c r="B4" i="81"/>
  <c r="V3" i="81"/>
  <c r="D3" i="81"/>
  <c r="B3" i="81"/>
  <c r="V2" i="81"/>
  <c r="D2" i="81"/>
  <c r="B2" i="81"/>
  <c r="F16" i="77"/>
  <c r="F15" i="77"/>
  <c r="F5" i="77"/>
  <c r="F6" i="77"/>
  <c r="F7" i="77"/>
  <c r="F8" i="77"/>
  <c r="F9" i="77"/>
  <c r="F10" i="77"/>
  <c r="F11" i="77"/>
  <c r="Q35" i="78"/>
  <c r="F13" i="77"/>
  <c r="F12" i="77"/>
  <c r="U35" i="78"/>
  <c r="S35" i="78"/>
  <c r="W35" i="78"/>
  <c r="AK6" i="78"/>
  <c r="AG35" i="78"/>
  <c r="O3" i="78"/>
  <c r="O35" i="78"/>
  <c r="O37" i="78"/>
  <c r="O16" i="77"/>
  <c r="C12" i="77"/>
  <c r="C2" i="77"/>
  <c r="C3" i="77"/>
  <c r="C4" i="77"/>
  <c r="C5" i="77"/>
  <c r="C6" i="77"/>
  <c r="C7" i="77"/>
  <c r="C8" i="77"/>
  <c r="C9" i="77"/>
  <c r="C10" i="77"/>
  <c r="C11" i="77"/>
  <c r="C13" i="77"/>
  <c r="C14" i="77"/>
  <c r="C15" i="77"/>
  <c r="C16" i="77"/>
  <c r="C17" i="77"/>
  <c r="C18" i="77"/>
  <c r="C19" i="77"/>
  <c r="C20" i="77"/>
  <c r="C21" i="77"/>
  <c r="C22" i="77"/>
  <c r="C23" i="77"/>
  <c r="C24" i="77"/>
  <c r="C25" i="77"/>
  <c r="C26" i="77"/>
  <c r="C27" i="77"/>
  <c r="C28" i="77"/>
  <c r="C29" i="77"/>
  <c r="C30" i="77"/>
  <c r="C31" i="77"/>
  <c r="C32" i="77"/>
  <c r="C33" i="77"/>
  <c r="C34" i="77"/>
  <c r="C35" i="77"/>
  <c r="O42" i="77"/>
  <c r="AC35" i="78"/>
  <c r="AC37" i="78"/>
  <c r="AA35" i="78"/>
  <c r="AA37" i="78"/>
  <c r="Y35" i="78"/>
  <c r="Y37" i="78"/>
  <c r="W37" i="78"/>
  <c r="U37" i="78"/>
  <c r="S37" i="78"/>
  <c r="Q37" i="78"/>
  <c r="F35" i="78"/>
  <c r="G35" i="78"/>
  <c r="I35" i="78"/>
  <c r="M35" i="78"/>
  <c r="AE35" i="78"/>
  <c r="N35" i="78"/>
  <c r="L35" i="78"/>
  <c r="K35" i="78"/>
  <c r="H35" i="78"/>
  <c r="D35" i="78"/>
  <c r="C35" i="78"/>
  <c r="A35" i="78"/>
  <c r="AI8" i="78"/>
  <c r="AH9" i="78"/>
  <c r="AJ6" i="78"/>
  <c r="AI6" i="78"/>
  <c r="AH6" i="78"/>
  <c r="AK3" i="78"/>
  <c r="AJ3" i="78"/>
  <c r="V35" i="77"/>
  <c r="D35" i="77"/>
  <c r="B35" i="77"/>
  <c r="V34" i="77"/>
  <c r="D34" i="77"/>
  <c r="B34" i="77"/>
  <c r="V33" i="77"/>
  <c r="D33" i="77"/>
  <c r="B33" i="77"/>
  <c r="V32" i="77"/>
  <c r="D32" i="77"/>
  <c r="B32" i="77"/>
  <c r="V31" i="77"/>
  <c r="D31" i="77"/>
  <c r="B31" i="77"/>
  <c r="V30" i="77"/>
  <c r="D30" i="77"/>
  <c r="B30" i="77"/>
  <c r="V29" i="77"/>
  <c r="D29" i="77"/>
  <c r="B29" i="77"/>
  <c r="V28" i="77"/>
  <c r="D28" i="77"/>
  <c r="B28" i="77"/>
  <c r="V27" i="77"/>
  <c r="D27" i="77"/>
  <c r="B27" i="77"/>
  <c r="V26" i="77"/>
  <c r="D26" i="77"/>
  <c r="B26" i="77"/>
  <c r="V25" i="77"/>
  <c r="D25" i="77"/>
  <c r="B25" i="77"/>
  <c r="V24" i="77"/>
  <c r="P24" i="77"/>
  <c r="P10" i="77"/>
  <c r="P12" i="77"/>
  <c r="O24" i="77"/>
  <c r="D24" i="77"/>
  <c r="B24" i="77"/>
  <c r="V23" i="77"/>
  <c r="U15" i="77"/>
  <c r="U14" i="77"/>
  <c r="U16" i="77"/>
  <c r="T17" i="77"/>
  <c r="S23" i="77"/>
  <c r="R15" i="77"/>
  <c r="R16" i="77"/>
  <c r="Q17" i="77"/>
  <c r="Q23" i="77"/>
  <c r="D23" i="77"/>
  <c r="B23" i="77"/>
  <c r="V22" i="77"/>
  <c r="D22" i="77"/>
  <c r="B22" i="77"/>
  <c r="V21" i="77"/>
  <c r="D21" i="77"/>
  <c r="B21" i="77"/>
  <c r="V20" i="77"/>
  <c r="D20" i="77"/>
  <c r="B20" i="77"/>
  <c r="V19" i="77"/>
  <c r="D19" i="77"/>
  <c r="B19" i="77"/>
  <c r="V18" i="77"/>
  <c r="D18" i="77"/>
  <c r="B18" i="77"/>
  <c r="V17" i="77"/>
  <c r="D17" i="77"/>
  <c r="B17" i="77"/>
  <c r="V16" i="77"/>
  <c r="D16" i="77"/>
  <c r="B16" i="77"/>
  <c r="V15" i="77"/>
  <c r="D15" i="77"/>
  <c r="B15" i="77"/>
  <c r="V14" i="77"/>
  <c r="D14" i="77"/>
  <c r="B14" i="77"/>
  <c r="V13" i="77"/>
  <c r="D13" i="77"/>
  <c r="B13" i="77"/>
  <c r="V12" i="77"/>
  <c r="O4" i="77"/>
  <c r="O6" i="77"/>
  <c r="O2" i="77"/>
  <c r="U2" i="77"/>
  <c r="O10" i="77"/>
  <c r="O12" i="77"/>
  <c r="D12" i="77"/>
  <c r="B12" i="77"/>
  <c r="V11" i="77"/>
  <c r="D11" i="77"/>
  <c r="B11" i="77"/>
  <c r="V10" i="77"/>
  <c r="D10" i="77"/>
  <c r="B10" i="77"/>
  <c r="V9" i="77"/>
  <c r="Q9" i="77"/>
  <c r="D9" i="77"/>
  <c r="B9" i="77"/>
  <c r="V8" i="77"/>
  <c r="D8" i="77"/>
  <c r="B8" i="77"/>
  <c r="V7" i="77"/>
  <c r="D7" i="77"/>
  <c r="B7" i="77"/>
  <c r="V6" i="77"/>
  <c r="D6" i="77"/>
  <c r="B6" i="77"/>
  <c r="V5" i="77"/>
  <c r="D5" i="77"/>
  <c r="B5" i="77"/>
  <c r="V4" i="77"/>
  <c r="D4" i="77"/>
  <c r="B4" i="77"/>
  <c r="V3" i="77"/>
  <c r="D3" i="77"/>
  <c r="B3" i="77"/>
  <c r="V2" i="77"/>
  <c r="D2" i="77"/>
  <c r="B2" i="77"/>
  <c r="O42" i="76"/>
  <c r="F2" i="76"/>
  <c r="C2" i="76"/>
  <c r="F3" i="76"/>
  <c r="C3" i="76"/>
  <c r="C4" i="76"/>
  <c r="C5" i="76"/>
  <c r="C6" i="76"/>
  <c r="C7" i="76"/>
  <c r="C8" i="76"/>
  <c r="C9" i="76"/>
  <c r="C10" i="76"/>
  <c r="C11" i="76"/>
  <c r="C12" i="76"/>
  <c r="C13" i="76"/>
  <c r="C14" i="76"/>
  <c r="C15" i="76"/>
  <c r="C16" i="76"/>
  <c r="C17" i="76"/>
  <c r="C18" i="76"/>
  <c r="C19" i="76"/>
  <c r="C20" i="76"/>
  <c r="C21" i="76"/>
  <c r="C22" i="76"/>
  <c r="C23" i="76"/>
  <c r="C24" i="76"/>
  <c r="C25" i="76"/>
  <c r="C26" i="76"/>
  <c r="C27" i="76"/>
  <c r="C28" i="76"/>
  <c r="C29" i="76"/>
  <c r="C30" i="76"/>
  <c r="C31" i="76"/>
  <c r="C32" i="76"/>
  <c r="O40" i="76"/>
  <c r="V35" i="76"/>
  <c r="C35" i="76"/>
  <c r="D35" i="76"/>
  <c r="B35" i="76"/>
  <c r="V34" i="76"/>
  <c r="C34" i="76"/>
  <c r="D34" i="76"/>
  <c r="B34" i="76"/>
  <c r="V33" i="76"/>
  <c r="C33" i="76"/>
  <c r="D33" i="76"/>
  <c r="B33" i="76"/>
  <c r="V32" i="76"/>
  <c r="D32" i="76"/>
  <c r="B32" i="76"/>
  <c r="V31" i="76"/>
  <c r="D31" i="76"/>
  <c r="B31" i="76"/>
  <c r="V30" i="76"/>
  <c r="D30" i="76"/>
  <c r="B30" i="76"/>
  <c r="V29" i="76"/>
  <c r="D29" i="76"/>
  <c r="B29" i="76"/>
  <c r="V28" i="76"/>
  <c r="O28" i="76"/>
  <c r="D28" i="76"/>
  <c r="B28" i="76"/>
  <c r="V27" i="76"/>
  <c r="D27" i="76"/>
  <c r="B27" i="76"/>
  <c r="V26" i="76"/>
  <c r="D26" i="76"/>
  <c r="B26" i="76"/>
  <c r="V25" i="76"/>
  <c r="D25" i="76"/>
  <c r="B25" i="76"/>
  <c r="V24" i="76"/>
  <c r="P24" i="76"/>
  <c r="P2" i="76"/>
  <c r="P10" i="76"/>
  <c r="P14" i="76"/>
  <c r="P12" i="76"/>
  <c r="O24" i="76"/>
  <c r="D24" i="76"/>
  <c r="B24" i="76"/>
  <c r="V23" i="76"/>
  <c r="U15" i="76"/>
  <c r="U14" i="76"/>
  <c r="U16" i="76"/>
  <c r="T17" i="76"/>
  <c r="S23" i="76"/>
  <c r="R15" i="76"/>
  <c r="R14" i="76"/>
  <c r="R16" i="76"/>
  <c r="Q17" i="76"/>
  <c r="Q23" i="76"/>
  <c r="D23" i="76"/>
  <c r="B23" i="76"/>
  <c r="V22" i="76"/>
  <c r="D22" i="76"/>
  <c r="B22" i="76"/>
  <c r="V21" i="76"/>
  <c r="D21" i="76"/>
  <c r="B21" i="76"/>
  <c r="V20" i="76"/>
  <c r="D20" i="76"/>
  <c r="B20" i="76"/>
  <c r="V19" i="76"/>
  <c r="D19" i="76"/>
  <c r="B19" i="76"/>
  <c r="V18" i="76"/>
  <c r="D18" i="76"/>
  <c r="B18" i="76"/>
  <c r="V17" i="76"/>
  <c r="D17" i="76"/>
  <c r="B17" i="76"/>
  <c r="V16" i="76"/>
  <c r="O16" i="76"/>
  <c r="D16" i="76"/>
  <c r="B16" i="76"/>
  <c r="V15" i="76"/>
  <c r="D15" i="76"/>
  <c r="B15" i="76"/>
  <c r="V14" i="76"/>
  <c r="O14" i="76"/>
  <c r="D14" i="76"/>
  <c r="B14" i="76"/>
  <c r="V13" i="76"/>
  <c r="D13" i="76"/>
  <c r="B13" i="76"/>
  <c r="V12" i="76"/>
  <c r="O4" i="76"/>
  <c r="O6" i="76"/>
  <c r="O2" i="76"/>
  <c r="U2" i="76"/>
  <c r="O10" i="76"/>
  <c r="O12" i="76"/>
  <c r="D12" i="76"/>
  <c r="B12" i="76"/>
  <c r="V11" i="76"/>
  <c r="D11" i="76"/>
  <c r="B11" i="76"/>
  <c r="V10" i="76"/>
  <c r="D10" i="76"/>
  <c r="B10" i="76"/>
  <c r="V9" i="76"/>
  <c r="Q2" i="76"/>
  <c r="Q9" i="76"/>
  <c r="D9" i="76"/>
  <c r="B9" i="76"/>
  <c r="V8" i="76"/>
  <c r="D8" i="76"/>
  <c r="B8" i="76"/>
  <c r="V7" i="76"/>
  <c r="Q7" i="76"/>
  <c r="D7" i="76"/>
  <c r="B7" i="76"/>
  <c r="V6" i="76"/>
  <c r="D6" i="76"/>
  <c r="B6" i="76"/>
  <c r="V5" i="76"/>
  <c r="D5" i="76"/>
  <c r="B5" i="76"/>
  <c r="V4" i="76"/>
  <c r="D4" i="76"/>
  <c r="B4" i="76"/>
  <c r="V3" i="76"/>
  <c r="D3" i="76"/>
  <c r="B3" i="76"/>
  <c r="V2" i="76"/>
  <c r="D2" i="76"/>
  <c r="B2" i="76"/>
  <c r="AJ6" i="73"/>
  <c r="F21" i="75"/>
  <c r="F15" i="75"/>
  <c r="T24" i="66"/>
  <c r="S22" i="66"/>
  <c r="U15" i="71"/>
  <c r="U14" i="71"/>
  <c r="U16" i="71"/>
  <c r="T17" i="71"/>
  <c r="S23" i="71"/>
  <c r="R15" i="71"/>
  <c r="R14" i="71"/>
  <c r="R16" i="71"/>
  <c r="Q17" i="71"/>
  <c r="Q23" i="71"/>
  <c r="P2" i="75"/>
  <c r="P10" i="75"/>
  <c r="U15" i="75"/>
  <c r="U14" i="75"/>
  <c r="U16" i="75"/>
  <c r="T17" i="75"/>
  <c r="P24" i="75"/>
  <c r="R15" i="75"/>
  <c r="R14" i="75"/>
  <c r="R16" i="75"/>
  <c r="Q17" i="75"/>
  <c r="S22" i="70"/>
  <c r="R22" i="70"/>
  <c r="P10" i="71"/>
  <c r="P14" i="71"/>
  <c r="O28" i="71"/>
  <c r="P24" i="71"/>
  <c r="O28" i="75"/>
  <c r="Q24" i="58"/>
  <c r="U15" i="58"/>
  <c r="U14" i="58"/>
  <c r="U16" i="58"/>
  <c r="T17" i="58"/>
  <c r="S22" i="58"/>
  <c r="R15" i="58"/>
  <c r="R14" i="58"/>
  <c r="R16" i="58"/>
  <c r="Q17" i="58"/>
  <c r="R22" i="58"/>
  <c r="Q24" i="59"/>
  <c r="O35" i="63"/>
  <c r="T17" i="62"/>
  <c r="S17" i="62"/>
  <c r="O3" i="63"/>
  <c r="P2" i="59"/>
  <c r="P10" i="59"/>
  <c r="U15" i="59"/>
  <c r="P14" i="59"/>
  <c r="U14" i="59"/>
  <c r="U16" i="59"/>
  <c r="T17" i="59"/>
  <c r="S22" i="59"/>
  <c r="R15" i="59"/>
  <c r="R14" i="59"/>
  <c r="R16" i="59"/>
  <c r="Q17" i="59"/>
  <c r="R22" i="59"/>
  <c r="P2" i="66"/>
  <c r="P10" i="66"/>
  <c r="R15" i="66"/>
  <c r="R16" i="66"/>
  <c r="Q17" i="66"/>
  <c r="R22" i="66"/>
  <c r="O28" i="62"/>
  <c r="Q24" i="62"/>
  <c r="U15" i="62"/>
  <c r="U14" i="62"/>
  <c r="U16" i="62"/>
  <c r="S22" i="62"/>
  <c r="R15" i="62"/>
  <c r="R14" i="62"/>
  <c r="R16" i="62"/>
  <c r="R22" i="62"/>
  <c r="Q24" i="66"/>
  <c r="O14" i="65"/>
  <c r="P14" i="65"/>
  <c r="Q24" i="65"/>
  <c r="U15" i="65"/>
  <c r="U14" i="65"/>
  <c r="U16" i="65"/>
  <c r="T17" i="65"/>
  <c r="S22" i="65"/>
  <c r="R15" i="65"/>
  <c r="R14" i="65"/>
  <c r="R16" i="65"/>
  <c r="S17" i="65"/>
  <c r="R22" i="65"/>
  <c r="P14" i="66"/>
  <c r="R14" i="66"/>
  <c r="R14" i="69"/>
  <c r="R15" i="69"/>
  <c r="O16" i="66"/>
  <c r="U15" i="66"/>
  <c r="O14" i="66"/>
  <c r="U14" i="66"/>
  <c r="U16" i="66"/>
  <c r="T17" i="66"/>
  <c r="U14" i="69"/>
  <c r="O28" i="69"/>
  <c r="Q24" i="69"/>
  <c r="U15" i="69"/>
  <c r="U16" i="69"/>
  <c r="T17" i="69"/>
  <c r="S22" i="69"/>
  <c r="R16" i="69"/>
  <c r="S17" i="69"/>
  <c r="R22" i="69"/>
  <c r="U15" i="70"/>
  <c r="U16" i="70"/>
  <c r="T17" i="70"/>
  <c r="R15" i="70"/>
  <c r="R16" i="70"/>
  <c r="S17" i="70"/>
  <c r="Q2" i="75"/>
  <c r="O14" i="70"/>
  <c r="P14" i="70"/>
  <c r="Q2" i="69"/>
  <c r="Q2" i="70"/>
  <c r="Q2" i="71"/>
  <c r="O16" i="71"/>
  <c r="O14" i="71"/>
  <c r="C2" i="71"/>
  <c r="C3" i="71"/>
  <c r="C4" i="71"/>
  <c r="F5" i="71"/>
  <c r="C5" i="71"/>
  <c r="F6" i="71"/>
  <c r="C6" i="71"/>
  <c r="C7" i="71"/>
  <c r="C8" i="71"/>
  <c r="F9" i="71"/>
  <c r="C9" i="71"/>
  <c r="F10" i="71"/>
  <c r="C10" i="71"/>
  <c r="F11" i="71"/>
  <c r="C11" i="71"/>
  <c r="F12" i="71"/>
  <c r="C12" i="71"/>
  <c r="F13" i="71"/>
  <c r="C13" i="71"/>
  <c r="F14" i="71"/>
  <c r="C14" i="71"/>
  <c r="C15" i="71"/>
  <c r="F16" i="71"/>
  <c r="C16" i="71"/>
  <c r="F17" i="71"/>
  <c r="C17" i="71"/>
  <c r="F18" i="71"/>
  <c r="C18" i="71"/>
  <c r="F19" i="71"/>
  <c r="C19" i="71"/>
  <c r="C20" i="71"/>
  <c r="C21" i="71"/>
  <c r="C22" i="71"/>
  <c r="F23" i="71"/>
  <c r="C23" i="71"/>
  <c r="F24" i="71"/>
  <c r="C24" i="71"/>
  <c r="F25" i="71"/>
  <c r="C25" i="71"/>
  <c r="F26" i="71"/>
  <c r="C26" i="71"/>
  <c r="F27" i="71"/>
  <c r="C27" i="71"/>
  <c r="F28" i="71"/>
  <c r="C28" i="71"/>
  <c r="C29" i="71"/>
  <c r="F30" i="71"/>
  <c r="C30" i="71"/>
  <c r="F31" i="71"/>
  <c r="C31" i="71"/>
  <c r="O40" i="71"/>
  <c r="C2" i="75"/>
  <c r="C3" i="75"/>
  <c r="C4" i="75"/>
  <c r="C5" i="75"/>
  <c r="C6" i="75"/>
  <c r="C7" i="75"/>
  <c r="C8" i="75"/>
  <c r="C9" i="75"/>
  <c r="C10" i="75"/>
  <c r="C11" i="75"/>
  <c r="C12" i="75"/>
  <c r="C13" i="75"/>
  <c r="C14" i="75"/>
  <c r="C15" i="75"/>
  <c r="C16" i="75"/>
  <c r="C17" i="75"/>
  <c r="C18" i="75"/>
  <c r="C19" i="75"/>
  <c r="C20" i="75"/>
  <c r="C21" i="75"/>
  <c r="C22" i="75"/>
  <c r="C23" i="75"/>
  <c r="C24" i="75"/>
  <c r="C25" i="75"/>
  <c r="C26" i="75"/>
  <c r="C27" i="75"/>
  <c r="C28" i="75"/>
  <c r="C29" i="75"/>
  <c r="C30" i="75"/>
  <c r="C31" i="75"/>
  <c r="C32" i="75"/>
  <c r="C33" i="75"/>
  <c r="C34" i="75"/>
  <c r="C35" i="75"/>
  <c r="F18" i="75"/>
  <c r="F17" i="75"/>
  <c r="F16" i="75"/>
  <c r="F14" i="75"/>
  <c r="F10" i="75"/>
  <c r="F8" i="75"/>
  <c r="F11" i="75"/>
  <c r="F9" i="75"/>
  <c r="F7" i="75"/>
  <c r="F4" i="75"/>
  <c r="F3" i="75"/>
  <c r="F2" i="75"/>
  <c r="F5" i="75"/>
  <c r="O42" i="75"/>
  <c r="O40" i="75"/>
  <c r="V35" i="75"/>
  <c r="D35" i="75"/>
  <c r="B35" i="75"/>
  <c r="V34" i="75"/>
  <c r="D34" i="75"/>
  <c r="B34" i="75"/>
  <c r="V33" i="75"/>
  <c r="D33" i="75"/>
  <c r="B33" i="75"/>
  <c r="V32" i="75"/>
  <c r="D32" i="75"/>
  <c r="B32" i="75"/>
  <c r="V31" i="75"/>
  <c r="D31" i="75"/>
  <c r="B31" i="75"/>
  <c r="V30" i="75"/>
  <c r="D30" i="75"/>
  <c r="B30" i="75"/>
  <c r="V29" i="75"/>
  <c r="D29" i="75"/>
  <c r="B29" i="75"/>
  <c r="V28" i="75"/>
  <c r="D28" i="75"/>
  <c r="B28" i="75"/>
  <c r="V27" i="75"/>
  <c r="D27" i="75"/>
  <c r="B27" i="75"/>
  <c r="V26" i="75"/>
  <c r="D26" i="75"/>
  <c r="B26" i="75"/>
  <c r="V25" i="75"/>
  <c r="D25" i="75"/>
  <c r="B25" i="75"/>
  <c r="V24" i="75"/>
  <c r="P12" i="75"/>
  <c r="O24" i="75"/>
  <c r="D24" i="75"/>
  <c r="B24" i="75"/>
  <c r="V23" i="75"/>
  <c r="D23" i="75"/>
  <c r="B23" i="75"/>
  <c r="V22" i="75"/>
  <c r="D22" i="75"/>
  <c r="B22" i="75"/>
  <c r="V21" i="75"/>
  <c r="D21" i="75"/>
  <c r="B21" i="75"/>
  <c r="V20" i="75"/>
  <c r="D20" i="75"/>
  <c r="B20" i="75"/>
  <c r="V19" i="75"/>
  <c r="D19" i="75"/>
  <c r="B19" i="75"/>
  <c r="V18" i="75"/>
  <c r="D18" i="75"/>
  <c r="B18" i="75"/>
  <c r="V17" i="75"/>
  <c r="D17" i="75"/>
  <c r="B17" i="75"/>
  <c r="V16" i="75"/>
  <c r="D16" i="75"/>
  <c r="B16" i="75"/>
  <c r="V15" i="75"/>
  <c r="D15" i="75"/>
  <c r="B15" i="75"/>
  <c r="V14" i="75"/>
  <c r="D14" i="75"/>
  <c r="B14" i="75"/>
  <c r="V13" i="75"/>
  <c r="D13" i="75"/>
  <c r="B13" i="75"/>
  <c r="V12" i="75"/>
  <c r="O4" i="75"/>
  <c r="O6" i="75"/>
  <c r="O2" i="75"/>
  <c r="U2" i="75"/>
  <c r="O10" i="75"/>
  <c r="O12" i="75"/>
  <c r="D12" i="75"/>
  <c r="B12" i="75"/>
  <c r="V11" i="75"/>
  <c r="D11" i="75"/>
  <c r="B11" i="75"/>
  <c r="V10" i="75"/>
  <c r="D10" i="75"/>
  <c r="B10" i="75"/>
  <c r="V9" i="75"/>
  <c r="Q9" i="75"/>
  <c r="D9" i="75"/>
  <c r="B9" i="75"/>
  <c r="V8" i="75"/>
  <c r="D8" i="75"/>
  <c r="B8" i="75"/>
  <c r="V7" i="75"/>
  <c r="Q7" i="75"/>
  <c r="D7" i="75"/>
  <c r="B7" i="75"/>
  <c r="V6" i="75"/>
  <c r="D6" i="75"/>
  <c r="B6" i="75"/>
  <c r="V5" i="75"/>
  <c r="D5" i="75"/>
  <c r="B5" i="75"/>
  <c r="V4" i="75"/>
  <c r="D4" i="75"/>
  <c r="B4" i="75"/>
  <c r="V3" i="75"/>
  <c r="D3" i="75"/>
  <c r="B3" i="75"/>
  <c r="V2" i="75"/>
  <c r="D2" i="75"/>
  <c r="B2" i="75"/>
  <c r="F34" i="71"/>
  <c r="F33" i="71"/>
  <c r="F35" i="71"/>
  <c r="F32" i="71"/>
  <c r="AC37" i="73"/>
  <c r="Y35" i="73"/>
  <c r="Y37" i="73"/>
  <c r="W35" i="73"/>
  <c r="W37" i="73"/>
  <c r="O42" i="71"/>
  <c r="Q35" i="73"/>
  <c r="U35" i="73"/>
  <c r="S35" i="73"/>
  <c r="AA35" i="73"/>
  <c r="AC35" i="73"/>
  <c r="F35" i="73"/>
  <c r="AK6" i="73"/>
  <c r="AG35" i="68"/>
  <c r="F35" i="68"/>
  <c r="G35" i="68"/>
  <c r="I35" i="68"/>
  <c r="M35" i="68"/>
  <c r="Q35" i="68"/>
  <c r="S35" i="68"/>
  <c r="U35" i="68"/>
  <c r="W35" i="68"/>
  <c r="Y35" i="68"/>
  <c r="AA35" i="68"/>
  <c r="AC35" i="68"/>
  <c r="AK6" i="68"/>
  <c r="O3" i="68"/>
  <c r="O35" i="68"/>
  <c r="O16" i="70"/>
  <c r="AA37" i="73"/>
  <c r="U37" i="73"/>
  <c r="S37" i="73"/>
  <c r="Q37" i="73"/>
  <c r="G35" i="73"/>
  <c r="I35" i="73"/>
  <c r="M35" i="73"/>
  <c r="AE35" i="73"/>
  <c r="N35" i="73"/>
  <c r="L35" i="73"/>
  <c r="K35" i="73"/>
  <c r="H35" i="73"/>
  <c r="D35" i="73"/>
  <c r="C35" i="73"/>
  <c r="A35" i="73"/>
  <c r="AI8" i="73"/>
  <c r="AH9" i="73"/>
  <c r="AI6" i="73"/>
  <c r="AH6" i="73"/>
  <c r="AK3" i="73"/>
  <c r="AJ3" i="73"/>
  <c r="C2" i="66"/>
  <c r="F3" i="66"/>
  <c r="C3" i="66"/>
  <c r="F4" i="66"/>
  <c r="C4" i="66"/>
  <c r="F5" i="66"/>
  <c r="C5" i="66"/>
  <c r="F6" i="66"/>
  <c r="C6" i="66"/>
  <c r="F7" i="66"/>
  <c r="C7" i="66"/>
  <c r="F8" i="66"/>
  <c r="C8" i="66"/>
  <c r="F9" i="66"/>
  <c r="C9" i="66"/>
  <c r="F10" i="66"/>
  <c r="C10" i="66"/>
  <c r="F11" i="66"/>
  <c r="C11" i="66"/>
  <c r="F12" i="66"/>
  <c r="C12" i="66"/>
  <c r="F13" i="66"/>
  <c r="C13" i="66"/>
  <c r="F14" i="66"/>
  <c r="C14" i="66"/>
  <c r="F15" i="66"/>
  <c r="C15" i="66"/>
  <c r="C16" i="66"/>
  <c r="F17" i="66"/>
  <c r="C17" i="66"/>
  <c r="F18" i="66"/>
  <c r="C18" i="66"/>
  <c r="F19" i="66"/>
  <c r="C19" i="66"/>
  <c r="F20" i="66"/>
  <c r="C20" i="66"/>
  <c r="F21" i="66"/>
  <c r="C21" i="66"/>
  <c r="F22" i="66"/>
  <c r="C22" i="66"/>
  <c r="F23" i="66"/>
  <c r="C23" i="66"/>
  <c r="C24" i="66"/>
  <c r="C25" i="66"/>
  <c r="C26" i="66"/>
  <c r="C27" i="66"/>
  <c r="C28" i="66"/>
  <c r="C29" i="66"/>
  <c r="C30" i="66"/>
  <c r="F31" i="66"/>
  <c r="C31" i="66"/>
  <c r="F32" i="66"/>
  <c r="C32" i="66"/>
  <c r="O40" i="66"/>
  <c r="O4" i="66"/>
  <c r="O6" i="66"/>
  <c r="O2" i="66"/>
  <c r="C32" i="71"/>
  <c r="V35" i="71"/>
  <c r="C35" i="71"/>
  <c r="D35" i="71"/>
  <c r="B35" i="71"/>
  <c r="V34" i="71"/>
  <c r="C34" i="71"/>
  <c r="D34" i="71"/>
  <c r="B34" i="71"/>
  <c r="V33" i="71"/>
  <c r="C33" i="71"/>
  <c r="D33" i="71"/>
  <c r="B33" i="71"/>
  <c r="V32" i="71"/>
  <c r="D32" i="71"/>
  <c r="B32" i="71"/>
  <c r="V31" i="71"/>
  <c r="D31" i="71"/>
  <c r="B31" i="71"/>
  <c r="V30" i="71"/>
  <c r="D30" i="71"/>
  <c r="B30" i="71"/>
  <c r="V29" i="71"/>
  <c r="D29" i="71"/>
  <c r="B29" i="71"/>
  <c r="V28" i="71"/>
  <c r="D28" i="71"/>
  <c r="B28" i="71"/>
  <c r="V27" i="71"/>
  <c r="D27" i="71"/>
  <c r="B27" i="71"/>
  <c r="V26" i="71"/>
  <c r="D26" i="71"/>
  <c r="B26" i="71"/>
  <c r="V25" i="71"/>
  <c r="D25" i="71"/>
  <c r="B25" i="71"/>
  <c r="V24" i="71"/>
  <c r="P12" i="71"/>
  <c r="O24" i="71"/>
  <c r="D24" i="71"/>
  <c r="B24" i="71"/>
  <c r="V23" i="71"/>
  <c r="D23" i="71"/>
  <c r="B23" i="71"/>
  <c r="V22" i="71"/>
  <c r="D22" i="71"/>
  <c r="B22" i="71"/>
  <c r="V21" i="71"/>
  <c r="D21" i="71"/>
  <c r="B21" i="71"/>
  <c r="V20" i="71"/>
  <c r="D20" i="71"/>
  <c r="B20" i="71"/>
  <c r="V19" i="71"/>
  <c r="D19" i="71"/>
  <c r="B19" i="71"/>
  <c r="V18" i="71"/>
  <c r="D18" i="71"/>
  <c r="B18" i="71"/>
  <c r="V17" i="71"/>
  <c r="D17" i="71"/>
  <c r="B17" i="71"/>
  <c r="V16" i="71"/>
  <c r="D16" i="71"/>
  <c r="B16" i="71"/>
  <c r="V15" i="71"/>
  <c r="D15" i="71"/>
  <c r="B15" i="71"/>
  <c r="V14" i="71"/>
  <c r="D14" i="71"/>
  <c r="B14" i="71"/>
  <c r="V13" i="71"/>
  <c r="D13" i="71"/>
  <c r="B13" i="71"/>
  <c r="V12" i="71"/>
  <c r="O4" i="71"/>
  <c r="O6" i="71"/>
  <c r="O2" i="71"/>
  <c r="U2" i="71"/>
  <c r="O10" i="71"/>
  <c r="O12" i="71"/>
  <c r="D12" i="71"/>
  <c r="B12" i="71"/>
  <c r="V11" i="71"/>
  <c r="D11" i="71"/>
  <c r="B11" i="71"/>
  <c r="V10" i="71"/>
  <c r="D10" i="71"/>
  <c r="B10" i="71"/>
  <c r="V9" i="71"/>
  <c r="Q9" i="71"/>
  <c r="D9" i="71"/>
  <c r="B9" i="71"/>
  <c r="V8" i="71"/>
  <c r="D8" i="71"/>
  <c r="B8" i="71"/>
  <c r="V7" i="71"/>
  <c r="Q7" i="71"/>
  <c r="D7" i="71"/>
  <c r="B7" i="71"/>
  <c r="V6" i="71"/>
  <c r="D6" i="71"/>
  <c r="B6" i="71"/>
  <c r="V5" i="71"/>
  <c r="D5" i="71"/>
  <c r="B5" i="71"/>
  <c r="V4" i="71"/>
  <c r="D4" i="71"/>
  <c r="B4" i="71"/>
  <c r="V3" i="71"/>
  <c r="D3" i="71"/>
  <c r="B3" i="71"/>
  <c r="V2" i="71"/>
  <c r="D2" i="71"/>
  <c r="B2" i="71"/>
  <c r="F2" i="70"/>
  <c r="F8" i="70"/>
  <c r="F9" i="70"/>
  <c r="F11" i="70"/>
  <c r="F12" i="70"/>
  <c r="F13" i="70"/>
  <c r="F14" i="70"/>
  <c r="F15" i="70"/>
  <c r="F19" i="70"/>
  <c r="F20" i="70"/>
  <c r="F21" i="70"/>
  <c r="O42" i="70"/>
  <c r="O28" i="70"/>
  <c r="P14" i="69"/>
  <c r="O16" i="69"/>
  <c r="O14" i="69"/>
  <c r="C2" i="70"/>
  <c r="C3" i="70"/>
  <c r="C4" i="70"/>
  <c r="C5" i="70"/>
  <c r="C6" i="70"/>
  <c r="C7" i="70"/>
  <c r="C8" i="70"/>
  <c r="C9" i="70"/>
  <c r="C10" i="70"/>
  <c r="C11" i="70"/>
  <c r="C12" i="70"/>
  <c r="C13" i="70"/>
  <c r="C14" i="70"/>
  <c r="C15" i="70"/>
  <c r="C16" i="70"/>
  <c r="C17" i="70"/>
  <c r="C18" i="70"/>
  <c r="C19" i="70"/>
  <c r="C20" i="70"/>
  <c r="C21" i="70"/>
  <c r="C22" i="70"/>
  <c r="C23" i="70"/>
  <c r="C24" i="70"/>
  <c r="C25" i="70"/>
  <c r="C26" i="70"/>
  <c r="C27" i="70"/>
  <c r="C28" i="70"/>
  <c r="C29" i="70"/>
  <c r="C30" i="70"/>
  <c r="C31" i="70"/>
  <c r="C32" i="70"/>
  <c r="O40" i="70"/>
  <c r="V35" i="70"/>
  <c r="C35" i="70"/>
  <c r="D35" i="70"/>
  <c r="B35" i="70"/>
  <c r="V34" i="70"/>
  <c r="C34" i="70"/>
  <c r="D34" i="70"/>
  <c r="B34" i="70"/>
  <c r="V33" i="70"/>
  <c r="C33" i="70"/>
  <c r="D33" i="70"/>
  <c r="B33" i="70"/>
  <c r="V32" i="70"/>
  <c r="D32" i="70"/>
  <c r="B32" i="70"/>
  <c r="V31" i="70"/>
  <c r="D31" i="70"/>
  <c r="B31" i="70"/>
  <c r="V30" i="70"/>
  <c r="D30" i="70"/>
  <c r="B30" i="70"/>
  <c r="V29" i="70"/>
  <c r="D29" i="70"/>
  <c r="B29" i="70"/>
  <c r="V28" i="70"/>
  <c r="D28" i="70"/>
  <c r="B28" i="70"/>
  <c r="V27" i="70"/>
  <c r="D27" i="70"/>
  <c r="B27" i="70"/>
  <c r="V26" i="70"/>
  <c r="D26" i="70"/>
  <c r="B26" i="70"/>
  <c r="V25" i="70"/>
  <c r="D25" i="70"/>
  <c r="B25" i="70"/>
  <c r="V24" i="70"/>
  <c r="P24" i="70"/>
  <c r="P2" i="70"/>
  <c r="P10" i="70"/>
  <c r="P12" i="70"/>
  <c r="O24" i="70"/>
  <c r="D24" i="70"/>
  <c r="B24" i="70"/>
  <c r="V23" i="70"/>
  <c r="D23" i="70"/>
  <c r="B23" i="70"/>
  <c r="V22" i="70"/>
  <c r="D22" i="70"/>
  <c r="B22" i="70"/>
  <c r="V21" i="70"/>
  <c r="D21" i="70"/>
  <c r="B21" i="70"/>
  <c r="V20" i="70"/>
  <c r="D20" i="70"/>
  <c r="B20" i="70"/>
  <c r="V19" i="70"/>
  <c r="D19" i="70"/>
  <c r="B19" i="70"/>
  <c r="V18" i="70"/>
  <c r="D18" i="70"/>
  <c r="B18" i="70"/>
  <c r="V17" i="70"/>
  <c r="D17" i="70"/>
  <c r="B17" i="70"/>
  <c r="V16" i="70"/>
  <c r="D16" i="70"/>
  <c r="B16" i="70"/>
  <c r="V15" i="70"/>
  <c r="D15" i="70"/>
  <c r="B15" i="70"/>
  <c r="V14" i="70"/>
  <c r="D14" i="70"/>
  <c r="B14" i="70"/>
  <c r="V13" i="70"/>
  <c r="D13" i="70"/>
  <c r="B13" i="70"/>
  <c r="V12" i="70"/>
  <c r="O4" i="70"/>
  <c r="O6" i="70"/>
  <c r="O2" i="70"/>
  <c r="U2" i="70"/>
  <c r="O10" i="70"/>
  <c r="O12" i="70"/>
  <c r="D12" i="70"/>
  <c r="B12" i="70"/>
  <c r="V11" i="70"/>
  <c r="D11" i="70"/>
  <c r="B11" i="70"/>
  <c r="V10" i="70"/>
  <c r="D10" i="70"/>
  <c r="B10" i="70"/>
  <c r="V9" i="70"/>
  <c r="Q9" i="70"/>
  <c r="D9" i="70"/>
  <c r="B9" i="70"/>
  <c r="V8" i="70"/>
  <c r="D8" i="70"/>
  <c r="B8" i="70"/>
  <c r="V7" i="70"/>
  <c r="Q7" i="70"/>
  <c r="D7" i="70"/>
  <c r="B7" i="70"/>
  <c r="V6" i="70"/>
  <c r="D6" i="70"/>
  <c r="B6" i="70"/>
  <c r="V5" i="70"/>
  <c r="D5" i="70"/>
  <c r="B5" i="70"/>
  <c r="V4" i="70"/>
  <c r="D4" i="70"/>
  <c r="B4" i="70"/>
  <c r="V3" i="70"/>
  <c r="D3" i="70"/>
  <c r="B3" i="70"/>
  <c r="V2" i="70"/>
  <c r="D2" i="70"/>
  <c r="B2" i="70"/>
  <c r="F32" i="69"/>
  <c r="F30" i="69"/>
  <c r="F31" i="69"/>
  <c r="F29" i="69"/>
  <c r="F28" i="69"/>
  <c r="F25" i="69"/>
  <c r="F26" i="69"/>
  <c r="F24" i="69"/>
  <c r="F23" i="69"/>
  <c r="F22" i="69"/>
  <c r="F18" i="69"/>
  <c r="F7" i="69"/>
  <c r="F4" i="69"/>
  <c r="F21" i="69"/>
  <c r="F15" i="69"/>
  <c r="F17" i="69"/>
  <c r="F16" i="69"/>
  <c r="F5" i="69"/>
  <c r="F2" i="69"/>
  <c r="F3" i="69"/>
  <c r="O42" i="69"/>
  <c r="C2" i="69"/>
  <c r="C3" i="69"/>
  <c r="C4" i="69"/>
  <c r="C5" i="69"/>
  <c r="C6" i="69"/>
  <c r="C7" i="69"/>
  <c r="C8" i="69"/>
  <c r="C9" i="69"/>
  <c r="C10" i="69"/>
  <c r="C11" i="69"/>
  <c r="C12" i="69"/>
  <c r="C13" i="69"/>
  <c r="C14" i="69"/>
  <c r="C15" i="69"/>
  <c r="C16" i="69"/>
  <c r="C17" i="69"/>
  <c r="C18" i="69"/>
  <c r="C19" i="69"/>
  <c r="C20" i="69"/>
  <c r="C21" i="69"/>
  <c r="C22" i="69"/>
  <c r="C23" i="69"/>
  <c r="C24" i="69"/>
  <c r="C25" i="69"/>
  <c r="C26" i="69"/>
  <c r="C27" i="69"/>
  <c r="C28" i="69"/>
  <c r="C29" i="69"/>
  <c r="C30" i="69"/>
  <c r="C31" i="69"/>
  <c r="C32" i="69"/>
  <c r="O40" i="69"/>
  <c r="V35" i="69"/>
  <c r="C35" i="69"/>
  <c r="D35" i="69"/>
  <c r="B35" i="69"/>
  <c r="V34" i="69"/>
  <c r="C34" i="69"/>
  <c r="D34" i="69"/>
  <c r="B34" i="69"/>
  <c r="V33" i="69"/>
  <c r="C33" i="69"/>
  <c r="D33" i="69"/>
  <c r="B33" i="69"/>
  <c r="V32" i="69"/>
  <c r="D32" i="69"/>
  <c r="B32" i="69"/>
  <c r="V31" i="69"/>
  <c r="D31" i="69"/>
  <c r="B31" i="69"/>
  <c r="V30" i="69"/>
  <c r="D30" i="69"/>
  <c r="B30" i="69"/>
  <c r="V29" i="69"/>
  <c r="D29" i="69"/>
  <c r="B29" i="69"/>
  <c r="V28" i="69"/>
  <c r="D28" i="69"/>
  <c r="B28" i="69"/>
  <c r="V27" i="69"/>
  <c r="D27" i="69"/>
  <c r="B27" i="69"/>
  <c r="V26" i="69"/>
  <c r="D26" i="69"/>
  <c r="B26" i="69"/>
  <c r="V25" i="69"/>
  <c r="D25" i="69"/>
  <c r="B25" i="69"/>
  <c r="V24" i="69"/>
  <c r="P24" i="69"/>
  <c r="P2" i="69"/>
  <c r="P10" i="69"/>
  <c r="P12" i="69"/>
  <c r="O24" i="69"/>
  <c r="D24" i="69"/>
  <c r="B24" i="69"/>
  <c r="V23" i="69"/>
  <c r="D23" i="69"/>
  <c r="B23" i="69"/>
  <c r="V22" i="69"/>
  <c r="D22" i="69"/>
  <c r="B22" i="69"/>
  <c r="V21" i="69"/>
  <c r="D21" i="69"/>
  <c r="B21" i="69"/>
  <c r="V20" i="69"/>
  <c r="D20" i="69"/>
  <c r="B20" i="69"/>
  <c r="V19" i="69"/>
  <c r="D19" i="69"/>
  <c r="B19" i="69"/>
  <c r="V18" i="69"/>
  <c r="D18" i="69"/>
  <c r="B18" i="69"/>
  <c r="V17" i="69"/>
  <c r="D17" i="69"/>
  <c r="B17" i="69"/>
  <c r="V16" i="69"/>
  <c r="D16" i="69"/>
  <c r="B16" i="69"/>
  <c r="V15" i="69"/>
  <c r="D15" i="69"/>
  <c r="B15" i="69"/>
  <c r="V14" i="69"/>
  <c r="D14" i="69"/>
  <c r="B14" i="69"/>
  <c r="V13" i="69"/>
  <c r="D13" i="69"/>
  <c r="B13" i="69"/>
  <c r="V12" i="69"/>
  <c r="O4" i="69"/>
  <c r="O6" i="69"/>
  <c r="U2" i="69"/>
  <c r="O10" i="69"/>
  <c r="O12" i="69"/>
  <c r="D12" i="69"/>
  <c r="B12" i="69"/>
  <c r="V11" i="69"/>
  <c r="D11" i="69"/>
  <c r="B11" i="69"/>
  <c r="V10" i="69"/>
  <c r="D10" i="69"/>
  <c r="B10" i="69"/>
  <c r="V9" i="69"/>
  <c r="Q9" i="69"/>
  <c r="D9" i="69"/>
  <c r="B9" i="69"/>
  <c r="V8" i="69"/>
  <c r="D8" i="69"/>
  <c r="B8" i="69"/>
  <c r="V7" i="69"/>
  <c r="Q7" i="69"/>
  <c r="D7" i="69"/>
  <c r="B7" i="69"/>
  <c r="V6" i="69"/>
  <c r="D6" i="69"/>
  <c r="B6" i="69"/>
  <c r="V5" i="69"/>
  <c r="D5" i="69"/>
  <c r="B5" i="69"/>
  <c r="V4" i="69"/>
  <c r="D4" i="69"/>
  <c r="B4" i="69"/>
  <c r="V3" i="69"/>
  <c r="D3" i="69"/>
  <c r="B3" i="69"/>
  <c r="V2" i="69"/>
  <c r="D2" i="69"/>
  <c r="B2" i="69"/>
  <c r="O37" i="68"/>
  <c r="O3" i="64"/>
  <c r="AA37" i="68"/>
  <c r="W37" i="68"/>
  <c r="U37" i="68"/>
  <c r="S37" i="68"/>
  <c r="Q37" i="68"/>
  <c r="AE35" i="68"/>
  <c r="P35" i="68"/>
  <c r="N35" i="68"/>
  <c r="L35" i="68"/>
  <c r="K35" i="68"/>
  <c r="H35" i="68"/>
  <c r="D35" i="68"/>
  <c r="C35" i="68"/>
  <c r="A35" i="68"/>
  <c r="AI8" i="68"/>
  <c r="AH9" i="68"/>
  <c r="AJ6" i="68"/>
  <c r="AI6" i="68"/>
  <c r="AH6" i="68"/>
  <c r="AK3" i="68"/>
  <c r="AJ3" i="68"/>
  <c r="N35" i="64"/>
  <c r="M10" i="67"/>
  <c r="N10" i="67"/>
  <c r="M9" i="67"/>
  <c r="N9" i="67"/>
  <c r="M8" i="67"/>
  <c r="N8" i="67"/>
  <c r="M7" i="67"/>
  <c r="N7" i="67"/>
  <c r="M6" i="67"/>
  <c r="N6" i="67"/>
  <c r="M5" i="67"/>
  <c r="N5" i="67"/>
  <c r="M4" i="67"/>
  <c r="H4" i="67"/>
  <c r="L4" i="67"/>
  <c r="N4" i="67"/>
  <c r="D4" i="67"/>
  <c r="M3" i="67"/>
  <c r="H3" i="67"/>
  <c r="L3" i="67"/>
  <c r="N3" i="67"/>
  <c r="H5" i="67"/>
  <c r="H6" i="67"/>
  <c r="H7" i="67"/>
  <c r="H8" i="67"/>
  <c r="H9" i="67"/>
  <c r="H10" i="67"/>
  <c r="N20" i="67"/>
  <c r="M20" i="67"/>
  <c r="L20" i="67"/>
  <c r="J20" i="67"/>
  <c r="I20" i="67"/>
  <c r="H20" i="67"/>
  <c r="G20" i="67"/>
  <c r="F20" i="67"/>
  <c r="E20" i="67"/>
  <c r="D3" i="67"/>
  <c r="D5" i="67"/>
  <c r="D6" i="67"/>
  <c r="D7" i="67"/>
  <c r="D8" i="67"/>
  <c r="D9" i="67"/>
  <c r="D10" i="67"/>
  <c r="D11" i="67"/>
  <c r="D20" i="67"/>
  <c r="S14" i="67"/>
  <c r="H10" i="26"/>
  <c r="H9" i="26"/>
  <c r="H8" i="26"/>
  <c r="H7" i="26"/>
  <c r="H6" i="26"/>
  <c r="H5" i="26"/>
  <c r="H4" i="26"/>
  <c r="H3" i="26"/>
  <c r="D10" i="26"/>
  <c r="D9" i="26"/>
  <c r="D7" i="26"/>
  <c r="D6" i="26"/>
  <c r="D8" i="26"/>
  <c r="D3" i="26"/>
  <c r="D4" i="26"/>
  <c r="D5" i="26"/>
  <c r="U35" i="64"/>
  <c r="M35" i="64"/>
  <c r="F35" i="64"/>
  <c r="AK6" i="64"/>
  <c r="AG35" i="64"/>
  <c r="O35" i="64"/>
  <c r="O37" i="64"/>
  <c r="O28" i="66"/>
  <c r="O16" i="65"/>
  <c r="Y37" i="64"/>
  <c r="O42" i="66"/>
  <c r="V35" i="66"/>
  <c r="C35" i="66"/>
  <c r="D35" i="66"/>
  <c r="B35" i="66"/>
  <c r="V34" i="66"/>
  <c r="C34" i="66"/>
  <c r="D34" i="66"/>
  <c r="B34" i="66"/>
  <c r="V33" i="66"/>
  <c r="C33" i="66"/>
  <c r="D33" i="66"/>
  <c r="B33" i="66"/>
  <c r="V32" i="66"/>
  <c r="D32" i="66"/>
  <c r="B32" i="66"/>
  <c r="V31" i="66"/>
  <c r="D31" i="66"/>
  <c r="B31" i="66"/>
  <c r="V30" i="66"/>
  <c r="D30" i="66"/>
  <c r="B30" i="66"/>
  <c r="V29" i="66"/>
  <c r="D29" i="66"/>
  <c r="B29" i="66"/>
  <c r="V28" i="66"/>
  <c r="D28" i="66"/>
  <c r="B28" i="66"/>
  <c r="V27" i="66"/>
  <c r="D27" i="66"/>
  <c r="B27" i="66"/>
  <c r="V26" i="66"/>
  <c r="D26" i="66"/>
  <c r="B26" i="66"/>
  <c r="V25" i="66"/>
  <c r="D25" i="66"/>
  <c r="B25" i="66"/>
  <c r="V24" i="66"/>
  <c r="P24" i="66"/>
  <c r="P12" i="66"/>
  <c r="O24" i="66"/>
  <c r="D24" i="66"/>
  <c r="B24" i="66"/>
  <c r="V23" i="66"/>
  <c r="D23" i="66"/>
  <c r="B23" i="66"/>
  <c r="V22" i="66"/>
  <c r="D22" i="66"/>
  <c r="B22" i="66"/>
  <c r="V21" i="66"/>
  <c r="D21" i="66"/>
  <c r="B21" i="66"/>
  <c r="V20" i="66"/>
  <c r="D20" i="66"/>
  <c r="B20" i="66"/>
  <c r="V19" i="66"/>
  <c r="D19" i="66"/>
  <c r="B19" i="66"/>
  <c r="V18" i="66"/>
  <c r="D18" i="66"/>
  <c r="B18" i="66"/>
  <c r="V17" i="66"/>
  <c r="D17" i="66"/>
  <c r="B17" i="66"/>
  <c r="V16" i="66"/>
  <c r="D16" i="66"/>
  <c r="B16" i="66"/>
  <c r="V15" i="66"/>
  <c r="D15" i="66"/>
  <c r="B15" i="66"/>
  <c r="V14" i="66"/>
  <c r="D14" i="66"/>
  <c r="B14" i="66"/>
  <c r="V13" i="66"/>
  <c r="D13" i="66"/>
  <c r="B13" i="66"/>
  <c r="V12" i="66"/>
  <c r="U2" i="66"/>
  <c r="O10" i="66"/>
  <c r="O12" i="66"/>
  <c r="D12" i="66"/>
  <c r="B12" i="66"/>
  <c r="V11" i="66"/>
  <c r="D11" i="66"/>
  <c r="B11" i="66"/>
  <c r="V10" i="66"/>
  <c r="D10" i="66"/>
  <c r="B10" i="66"/>
  <c r="V9" i="66"/>
  <c r="Q9" i="66"/>
  <c r="D9" i="66"/>
  <c r="B9" i="66"/>
  <c r="V8" i="66"/>
  <c r="D8" i="66"/>
  <c r="B8" i="66"/>
  <c r="V7" i="66"/>
  <c r="Q7" i="66"/>
  <c r="D7" i="66"/>
  <c r="B7" i="66"/>
  <c r="V6" i="66"/>
  <c r="D6" i="66"/>
  <c r="B6" i="66"/>
  <c r="V5" i="66"/>
  <c r="D5" i="66"/>
  <c r="B5" i="66"/>
  <c r="V4" i="66"/>
  <c r="D4" i="66"/>
  <c r="B4" i="66"/>
  <c r="V3" i="66"/>
  <c r="D3" i="66"/>
  <c r="B3" i="66"/>
  <c r="V2" i="66"/>
  <c r="D2" i="66"/>
  <c r="B2" i="66"/>
  <c r="F31" i="65"/>
  <c r="F32" i="65"/>
  <c r="F30" i="65"/>
  <c r="F29" i="65"/>
  <c r="AA35" i="64"/>
  <c r="Y35" i="64"/>
  <c r="S35" i="64"/>
  <c r="Q35" i="64"/>
  <c r="W35" i="64"/>
  <c r="P14" i="62"/>
  <c r="M35" i="63"/>
  <c r="AK6" i="63"/>
  <c r="O16" i="62"/>
  <c r="O14" i="62"/>
  <c r="C30" i="65"/>
  <c r="C31" i="65"/>
  <c r="C32" i="65"/>
  <c r="C29" i="65"/>
  <c r="O40" i="65"/>
  <c r="O4" i="65"/>
  <c r="F18" i="65"/>
  <c r="F14" i="65"/>
  <c r="F16" i="65"/>
  <c r="F24" i="65"/>
  <c r="F28" i="65"/>
  <c r="F27" i="65"/>
  <c r="F25" i="65"/>
  <c r="F23" i="65"/>
  <c r="F22" i="65"/>
  <c r="F21" i="65"/>
  <c r="F20" i="65"/>
  <c r="F17" i="65"/>
  <c r="F15" i="65"/>
  <c r="F13" i="65"/>
  <c r="F11" i="65"/>
  <c r="F10" i="65"/>
  <c r="C10" i="65"/>
  <c r="C11" i="65"/>
  <c r="C13" i="65"/>
  <c r="C14" i="65"/>
  <c r="C16" i="65"/>
  <c r="C17" i="65"/>
  <c r="C18" i="65"/>
  <c r="C20" i="65"/>
  <c r="C21" i="65"/>
  <c r="C23" i="65"/>
  <c r="C24" i="65"/>
  <c r="C25" i="65"/>
  <c r="C22" i="65"/>
  <c r="C27" i="65"/>
  <c r="C28" i="65"/>
  <c r="C15" i="65"/>
  <c r="F9" i="65"/>
  <c r="O42" i="65"/>
  <c r="F8" i="65"/>
  <c r="F7" i="65"/>
  <c r="C25" i="62"/>
  <c r="O28" i="65"/>
  <c r="F6" i="65"/>
  <c r="C2" i="65"/>
  <c r="C3" i="65"/>
  <c r="C4" i="65"/>
  <c r="C5" i="65"/>
  <c r="C6" i="65"/>
  <c r="C7" i="65"/>
  <c r="C8" i="65"/>
  <c r="C9" i="65"/>
  <c r="C12" i="65"/>
  <c r="C19" i="65"/>
  <c r="C26" i="65"/>
  <c r="V35" i="65"/>
  <c r="C35" i="65"/>
  <c r="D35" i="65"/>
  <c r="B35" i="65"/>
  <c r="V34" i="65"/>
  <c r="C34" i="65"/>
  <c r="D34" i="65"/>
  <c r="B34" i="65"/>
  <c r="V33" i="65"/>
  <c r="C33" i="65"/>
  <c r="D33" i="65"/>
  <c r="B33" i="65"/>
  <c r="V32" i="65"/>
  <c r="D32" i="65"/>
  <c r="B32" i="65"/>
  <c r="V31" i="65"/>
  <c r="D31" i="65"/>
  <c r="B31" i="65"/>
  <c r="V30" i="65"/>
  <c r="D30" i="65"/>
  <c r="B30" i="65"/>
  <c r="V29" i="65"/>
  <c r="D29" i="65"/>
  <c r="B29" i="65"/>
  <c r="V28" i="65"/>
  <c r="D28" i="65"/>
  <c r="B28" i="65"/>
  <c r="V27" i="65"/>
  <c r="D27" i="65"/>
  <c r="B27" i="65"/>
  <c r="V26" i="65"/>
  <c r="D26" i="65"/>
  <c r="B26" i="65"/>
  <c r="V25" i="65"/>
  <c r="D25" i="65"/>
  <c r="B25" i="65"/>
  <c r="V24" i="65"/>
  <c r="P24" i="65"/>
  <c r="P2" i="65"/>
  <c r="P10" i="65"/>
  <c r="P12" i="65"/>
  <c r="O24" i="65"/>
  <c r="D24" i="65"/>
  <c r="B24" i="65"/>
  <c r="V23" i="65"/>
  <c r="D23" i="65"/>
  <c r="B23" i="65"/>
  <c r="V22" i="65"/>
  <c r="D22" i="65"/>
  <c r="B22" i="65"/>
  <c r="V21" i="65"/>
  <c r="D21" i="65"/>
  <c r="B21" i="65"/>
  <c r="V20" i="65"/>
  <c r="D20" i="65"/>
  <c r="B20" i="65"/>
  <c r="V19" i="65"/>
  <c r="D19" i="65"/>
  <c r="B19" i="65"/>
  <c r="V18" i="65"/>
  <c r="D18" i="65"/>
  <c r="B18" i="65"/>
  <c r="V17" i="65"/>
  <c r="D17" i="65"/>
  <c r="B17" i="65"/>
  <c r="V16" i="65"/>
  <c r="D16" i="65"/>
  <c r="B16" i="65"/>
  <c r="V15" i="65"/>
  <c r="D15" i="65"/>
  <c r="B15" i="65"/>
  <c r="V14" i="65"/>
  <c r="D14" i="65"/>
  <c r="B14" i="65"/>
  <c r="V13" i="65"/>
  <c r="D13" i="65"/>
  <c r="B13" i="65"/>
  <c r="V12" i="65"/>
  <c r="O6" i="65"/>
  <c r="O2" i="65"/>
  <c r="U2" i="65"/>
  <c r="O10" i="65"/>
  <c r="O12" i="65"/>
  <c r="D12" i="65"/>
  <c r="B12" i="65"/>
  <c r="V11" i="65"/>
  <c r="D11" i="65"/>
  <c r="B11" i="65"/>
  <c r="V10" i="65"/>
  <c r="D10" i="65"/>
  <c r="B10" i="65"/>
  <c r="V9" i="65"/>
  <c r="Q9" i="65"/>
  <c r="D9" i="65"/>
  <c r="B9" i="65"/>
  <c r="V8" i="65"/>
  <c r="D8" i="65"/>
  <c r="B8" i="65"/>
  <c r="V7" i="65"/>
  <c r="Q7" i="65"/>
  <c r="D7" i="65"/>
  <c r="B7" i="65"/>
  <c r="V6" i="65"/>
  <c r="D6" i="65"/>
  <c r="B6" i="65"/>
  <c r="V5" i="65"/>
  <c r="D5" i="65"/>
  <c r="B5" i="65"/>
  <c r="V4" i="65"/>
  <c r="D4" i="65"/>
  <c r="B4" i="65"/>
  <c r="V3" i="65"/>
  <c r="D3" i="65"/>
  <c r="B3" i="65"/>
  <c r="V2" i="65"/>
  <c r="D2" i="65"/>
  <c r="B2" i="65"/>
  <c r="AA37" i="64"/>
  <c r="W37" i="64"/>
  <c r="U37" i="64"/>
  <c r="S37" i="64"/>
  <c r="Q37" i="64"/>
  <c r="G35" i="64"/>
  <c r="I35" i="64"/>
  <c r="AC35" i="64"/>
  <c r="AE35" i="64"/>
  <c r="L35" i="64"/>
  <c r="K35" i="64"/>
  <c r="H35" i="64"/>
  <c r="D35" i="64"/>
  <c r="C35" i="64"/>
  <c r="A35" i="64"/>
  <c r="AI8" i="64"/>
  <c r="AH9" i="64"/>
  <c r="AJ6" i="64"/>
  <c r="AI6" i="64"/>
  <c r="AH6" i="64"/>
  <c r="AK3" i="64"/>
  <c r="AJ3" i="64"/>
  <c r="F19" i="62"/>
  <c r="F18" i="62"/>
  <c r="F17" i="62"/>
  <c r="F16" i="62"/>
  <c r="F15" i="62"/>
  <c r="F3" i="62"/>
  <c r="Q35" i="63"/>
  <c r="U35" i="63"/>
  <c r="S35" i="63"/>
  <c r="W35" i="63"/>
  <c r="AA35" i="63"/>
  <c r="AG35" i="63"/>
  <c r="O3" i="60"/>
  <c r="AA37" i="63"/>
  <c r="W37" i="63"/>
  <c r="U37" i="63"/>
  <c r="S37" i="63"/>
  <c r="Q37" i="63"/>
  <c r="O37" i="63"/>
  <c r="AE35" i="63"/>
  <c r="AC35" i="63"/>
  <c r="Y35" i="63"/>
  <c r="P35" i="63"/>
  <c r="N35" i="63"/>
  <c r="L35" i="63"/>
  <c r="K35" i="63"/>
  <c r="I35" i="63"/>
  <c r="H35" i="63"/>
  <c r="G35" i="63"/>
  <c r="F35" i="63"/>
  <c r="D35" i="63"/>
  <c r="C35" i="63"/>
  <c r="A35" i="63"/>
  <c r="AI8" i="63"/>
  <c r="AH9" i="63"/>
  <c r="AJ6" i="63"/>
  <c r="AI6" i="63"/>
  <c r="AH6" i="63"/>
  <c r="AK3" i="63"/>
  <c r="AJ3" i="63"/>
  <c r="Q43" i="60"/>
  <c r="S41" i="60"/>
  <c r="F2" i="62"/>
  <c r="O42" i="62"/>
  <c r="C2" i="62"/>
  <c r="C3" i="62"/>
  <c r="C4" i="62"/>
  <c r="C5" i="62"/>
  <c r="C6" i="62"/>
  <c r="C7" i="62"/>
  <c r="C8" i="62"/>
  <c r="C9" i="62"/>
  <c r="C10" i="62"/>
  <c r="C11" i="62"/>
  <c r="C12" i="62"/>
  <c r="C13" i="62"/>
  <c r="C14" i="62"/>
  <c r="C15" i="62"/>
  <c r="C16" i="62"/>
  <c r="C17" i="62"/>
  <c r="C18" i="62"/>
  <c r="C19" i="62"/>
  <c r="C20" i="62"/>
  <c r="C21" i="62"/>
  <c r="C22" i="62"/>
  <c r="C23" i="62"/>
  <c r="C24" i="62"/>
  <c r="C26" i="62"/>
  <c r="C27" i="62"/>
  <c r="C28" i="62"/>
  <c r="C29" i="62"/>
  <c r="C30" i="62"/>
  <c r="C31" i="62"/>
  <c r="C32" i="62"/>
  <c r="O40" i="62"/>
  <c r="V35" i="62"/>
  <c r="C35" i="62"/>
  <c r="D35" i="62"/>
  <c r="B35" i="62"/>
  <c r="V34" i="62"/>
  <c r="C34" i="62"/>
  <c r="D34" i="62"/>
  <c r="B34" i="62"/>
  <c r="V33" i="62"/>
  <c r="C33" i="62"/>
  <c r="D33" i="62"/>
  <c r="B33" i="62"/>
  <c r="V32" i="62"/>
  <c r="D32" i="62"/>
  <c r="B32" i="62"/>
  <c r="V31" i="62"/>
  <c r="D31" i="62"/>
  <c r="B31" i="62"/>
  <c r="V30" i="62"/>
  <c r="D30" i="62"/>
  <c r="B30" i="62"/>
  <c r="V29" i="62"/>
  <c r="D29" i="62"/>
  <c r="B29" i="62"/>
  <c r="V28" i="62"/>
  <c r="D28" i="62"/>
  <c r="B28" i="62"/>
  <c r="V27" i="62"/>
  <c r="D27" i="62"/>
  <c r="B27" i="62"/>
  <c r="V26" i="62"/>
  <c r="D26" i="62"/>
  <c r="B26" i="62"/>
  <c r="V25" i="62"/>
  <c r="D25" i="62"/>
  <c r="B25" i="62"/>
  <c r="V24" i="62"/>
  <c r="P2" i="62"/>
  <c r="P10" i="62"/>
  <c r="P12" i="62"/>
  <c r="O24" i="62"/>
  <c r="D24" i="62"/>
  <c r="B24" i="62"/>
  <c r="V23" i="62"/>
  <c r="D23" i="62"/>
  <c r="B23" i="62"/>
  <c r="V22" i="62"/>
  <c r="D22" i="62"/>
  <c r="B22" i="62"/>
  <c r="V21" i="62"/>
  <c r="D21" i="62"/>
  <c r="B21" i="62"/>
  <c r="V20" i="62"/>
  <c r="D20" i="62"/>
  <c r="B20" i="62"/>
  <c r="V19" i="62"/>
  <c r="D19" i="62"/>
  <c r="B19" i="62"/>
  <c r="V18" i="62"/>
  <c r="D18" i="62"/>
  <c r="B18" i="62"/>
  <c r="V17" i="62"/>
  <c r="D17" i="62"/>
  <c r="B17" i="62"/>
  <c r="V16" i="62"/>
  <c r="D16" i="62"/>
  <c r="B16" i="62"/>
  <c r="V15" i="62"/>
  <c r="D15" i="62"/>
  <c r="B15" i="62"/>
  <c r="V14" i="62"/>
  <c r="D14" i="62"/>
  <c r="B14" i="62"/>
  <c r="V13" i="62"/>
  <c r="D13" i="62"/>
  <c r="B13" i="62"/>
  <c r="V12" i="62"/>
  <c r="O4" i="62"/>
  <c r="O6" i="62"/>
  <c r="O2" i="62"/>
  <c r="U2" i="62"/>
  <c r="O10" i="62"/>
  <c r="O12" i="62"/>
  <c r="D12" i="62"/>
  <c r="B12" i="62"/>
  <c r="V11" i="62"/>
  <c r="D11" i="62"/>
  <c r="B11" i="62"/>
  <c r="V10" i="62"/>
  <c r="D10" i="62"/>
  <c r="B10" i="62"/>
  <c r="V9" i="62"/>
  <c r="Q9" i="62"/>
  <c r="D9" i="62"/>
  <c r="B9" i="62"/>
  <c r="V8" i="62"/>
  <c r="D8" i="62"/>
  <c r="B8" i="62"/>
  <c r="V7" i="62"/>
  <c r="Q7" i="62"/>
  <c r="D7" i="62"/>
  <c r="B7" i="62"/>
  <c r="V6" i="62"/>
  <c r="D6" i="62"/>
  <c r="B6" i="62"/>
  <c r="V5" i="62"/>
  <c r="D5" i="62"/>
  <c r="B5" i="62"/>
  <c r="V4" i="62"/>
  <c r="D4" i="62"/>
  <c r="B4" i="62"/>
  <c r="V3" i="62"/>
  <c r="D3" i="62"/>
  <c r="B3" i="62"/>
  <c r="V2" i="62"/>
  <c r="D2" i="62"/>
  <c r="B2" i="62"/>
  <c r="U41" i="60"/>
  <c r="F26" i="59"/>
  <c r="F32" i="59"/>
  <c r="F31" i="59"/>
  <c r="F30" i="59"/>
  <c r="F29" i="59"/>
  <c r="F28" i="59"/>
  <c r="F27" i="59"/>
  <c r="F7" i="59"/>
  <c r="F23" i="59"/>
  <c r="F22" i="59"/>
  <c r="F21" i="59"/>
  <c r="F20" i="59"/>
  <c r="F19" i="59"/>
  <c r="F18" i="59"/>
  <c r="F17" i="59"/>
  <c r="F15" i="59"/>
  <c r="F14" i="59"/>
  <c r="F13" i="59"/>
  <c r="O4" i="58"/>
  <c r="O28" i="59"/>
  <c r="Q35" i="60"/>
  <c r="U35" i="60"/>
  <c r="W35" i="60"/>
  <c r="F35" i="60"/>
  <c r="S35" i="60"/>
  <c r="M35" i="60"/>
  <c r="AK6" i="60"/>
  <c r="AG35" i="60"/>
  <c r="O16" i="59"/>
  <c r="P24" i="59"/>
  <c r="P12" i="59"/>
  <c r="O24" i="59"/>
  <c r="O14" i="59"/>
  <c r="C14" i="59"/>
  <c r="C13" i="59"/>
  <c r="C15" i="59"/>
  <c r="C16" i="59"/>
  <c r="C17" i="59"/>
  <c r="C18" i="59"/>
  <c r="C19" i="59"/>
  <c r="C20" i="59"/>
  <c r="C21" i="59"/>
  <c r="C32" i="59"/>
  <c r="C31" i="59"/>
  <c r="C22" i="59"/>
  <c r="C23" i="59"/>
  <c r="C26" i="59"/>
  <c r="C27" i="59"/>
  <c r="C28" i="59"/>
  <c r="C29" i="59"/>
  <c r="C30" i="59"/>
  <c r="C7" i="59"/>
  <c r="C24" i="59"/>
  <c r="C35" i="59"/>
  <c r="O40" i="59"/>
  <c r="O4" i="59"/>
  <c r="O2" i="59"/>
  <c r="O10" i="59"/>
  <c r="O12" i="59"/>
  <c r="O24" i="58"/>
  <c r="O35" i="54"/>
  <c r="O4" i="54"/>
  <c r="P24" i="58"/>
  <c r="P14" i="58"/>
  <c r="AG35" i="54"/>
  <c r="F35" i="54"/>
  <c r="G35" i="54"/>
  <c r="I35" i="54"/>
  <c r="M35" i="54"/>
  <c r="Q35" i="54"/>
  <c r="S35" i="54"/>
  <c r="U35" i="54"/>
  <c r="W35" i="54"/>
  <c r="Y35" i="54"/>
  <c r="AA35" i="54"/>
  <c r="AC35" i="54"/>
  <c r="AK6" i="54"/>
  <c r="O16" i="58"/>
  <c r="O14" i="58"/>
  <c r="W37" i="60"/>
  <c r="C11" i="59"/>
  <c r="C12" i="59"/>
  <c r="F6" i="59"/>
  <c r="F5" i="59"/>
  <c r="AC35" i="60"/>
  <c r="O35" i="60"/>
  <c r="P14" i="53"/>
  <c r="O16" i="53"/>
  <c r="O14" i="53"/>
  <c r="AA35" i="60"/>
  <c r="AA37" i="60"/>
  <c r="U37" i="60"/>
  <c r="S37" i="60"/>
  <c r="Q37" i="60"/>
  <c r="G35" i="60"/>
  <c r="I35" i="60"/>
  <c r="Y35" i="60"/>
  <c r="O37" i="60"/>
  <c r="AE35" i="60"/>
  <c r="P35" i="60"/>
  <c r="N35" i="60"/>
  <c r="L35" i="60"/>
  <c r="K35" i="60"/>
  <c r="H35" i="60"/>
  <c r="D35" i="60"/>
  <c r="C35" i="60"/>
  <c r="A35" i="60"/>
  <c r="AI8" i="60"/>
  <c r="AH9" i="60"/>
  <c r="AJ6" i="60"/>
  <c r="AI6" i="60"/>
  <c r="AH6" i="60"/>
  <c r="AK3" i="60"/>
  <c r="AJ3" i="60"/>
  <c r="O42" i="59"/>
  <c r="C2" i="59"/>
  <c r="C3" i="59"/>
  <c r="F4" i="59"/>
  <c r="C4" i="59"/>
  <c r="C5" i="59"/>
  <c r="C6" i="59"/>
  <c r="C8" i="59"/>
  <c r="C9" i="59"/>
  <c r="C10" i="59"/>
  <c r="C25" i="59"/>
  <c r="V35" i="59"/>
  <c r="D35" i="59"/>
  <c r="B35" i="59"/>
  <c r="V34" i="59"/>
  <c r="C34" i="59"/>
  <c r="D34" i="59"/>
  <c r="B34" i="59"/>
  <c r="V33" i="59"/>
  <c r="C33" i="59"/>
  <c r="D33" i="59"/>
  <c r="B33" i="59"/>
  <c r="V32" i="59"/>
  <c r="D32" i="59"/>
  <c r="B32" i="59"/>
  <c r="V31" i="59"/>
  <c r="D31" i="59"/>
  <c r="B31" i="59"/>
  <c r="V30" i="59"/>
  <c r="D30" i="59"/>
  <c r="B30" i="59"/>
  <c r="V29" i="59"/>
  <c r="D29" i="59"/>
  <c r="B29" i="59"/>
  <c r="V28" i="59"/>
  <c r="D28" i="59"/>
  <c r="B28" i="59"/>
  <c r="V27" i="59"/>
  <c r="D27" i="59"/>
  <c r="B27" i="59"/>
  <c r="V26" i="59"/>
  <c r="D26" i="59"/>
  <c r="B26" i="59"/>
  <c r="V25" i="59"/>
  <c r="D25" i="59"/>
  <c r="B25" i="59"/>
  <c r="V24" i="59"/>
  <c r="Q7" i="59"/>
  <c r="O6" i="59"/>
  <c r="U2" i="59"/>
  <c r="D24" i="59"/>
  <c r="B24" i="59"/>
  <c r="V23" i="59"/>
  <c r="D23" i="59"/>
  <c r="B23" i="59"/>
  <c r="V22" i="59"/>
  <c r="D22" i="59"/>
  <c r="B22" i="59"/>
  <c r="V21" i="59"/>
  <c r="D21" i="59"/>
  <c r="B21" i="59"/>
  <c r="V20" i="59"/>
  <c r="D20" i="59"/>
  <c r="B20" i="59"/>
  <c r="V19" i="59"/>
  <c r="D19" i="59"/>
  <c r="B19" i="59"/>
  <c r="V18" i="59"/>
  <c r="D18" i="59"/>
  <c r="B18" i="59"/>
  <c r="V17" i="59"/>
  <c r="D17" i="59"/>
  <c r="B17" i="59"/>
  <c r="V16" i="59"/>
  <c r="D16" i="59"/>
  <c r="B16" i="59"/>
  <c r="V15" i="59"/>
  <c r="D15" i="59"/>
  <c r="B15" i="59"/>
  <c r="V14" i="59"/>
  <c r="D14" i="59"/>
  <c r="B14" i="59"/>
  <c r="V13" i="59"/>
  <c r="D13" i="59"/>
  <c r="B13" i="59"/>
  <c r="V12" i="59"/>
  <c r="D12" i="59"/>
  <c r="B12" i="59"/>
  <c r="V11" i="59"/>
  <c r="D11" i="59"/>
  <c r="B11" i="59"/>
  <c r="V10" i="59"/>
  <c r="D10" i="59"/>
  <c r="B10" i="59"/>
  <c r="V9" i="59"/>
  <c r="Q9" i="59"/>
  <c r="D9" i="59"/>
  <c r="B9" i="59"/>
  <c r="V8" i="59"/>
  <c r="D8" i="59"/>
  <c r="B8" i="59"/>
  <c r="V7" i="59"/>
  <c r="D7" i="59"/>
  <c r="B7" i="59"/>
  <c r="V6" i="59"/>
  <c r="D6" i="59"/>
  <c r="B6" i="59"/>
  <c r="V5" i="59"/>
  <c r="D5" i="59"/>
  <c r="B5" i="59"/>
  <c r="V4" i="59"/>
  <c r="D4" i="59"/>
  <c r="B4" i="59"/>
  <c r="V3" i="59"/>
  <c r="D3" i="59"/>
  <c r="B3" i="59"/>
  <c r="V2" i="59"/>
  <c r="D2" i="59"/>
  <c r="B2" i="59"/>
  <c r="N35" i="54"/>
  <c r="F16" i="58"/>
  <c r="F15" i="58"/>
  <c r="F14" i="58"/>
  <c r="F13" i="58"/>
  <c r="F11" i="58"/>
  <c r="F10" i="58"/>
  <c r="F9" i="58"/>
  <c r="F8" i="58"/>
  <c r="F7" i="58"/>
  <c r="F4" i="58"/>
  <c r="F3" i="58"/>
  <c r="F2" i="58"/>
  <c r="O42" i="58"/>
  <c r="P2" i="58"/>
  <c r="P10" i="58"/>
  <c r="C2" i="58"/>
  <c r="C3" i="58"/>
  <c r="C4" i="58"/>
  <c r="C5" i="58"/>
  <c r="C6" i="58"/>
  <c r="C7" i="58"/>
  <c r="C8" i="58"/>
  <c r="C9" i="58"/>
  <c r="C10" i="58"/>
  <c r="C11" i="58"/>
  <c r="C12" i="58"/>
  <c r="C13" i="58"/>
  <c r="C14" i="58"/>
  <c r="C15" i="58"/>
  <c r="C16" i="58"/>
  <c r="C17" i="58"/>
  <c r="C18" i="58"/>
  <c r="C19" i="58"/>
  <c r="C20" i="58"/>
  <c r="C21" i="58"/>
  <c r="C22" i="58"/>
  <c r="C23" i="58"/>
  <c r="C24" i="58"/>
  <c r="C25" i="58"/>
  <c r="C26" i="58"/>
  <c r="C27" i="58"/>
  <c r="C28" i="58"/>
  <c r="C29" i="58"/>
  <c r="C30" i="58"/>
  <c r="C31" i="58"/>
  <c r="C32" i="58"/>
  <c r="O40" i="58"/>
  <c r="O2" i="58"/>
  <c r="O10" i="58"/>
  <c r="O28" i="58"/>
  <c r="V35" i="58"/>
  <c r="C35" i="58"/>
  <c r="D35" i="58"/>
  <c r="B35" i="58"/>
  <c r="V34" i="58"/>
  <c r="C34" i="58"/>
  <c r="D34" i="58"/>
  <c r="B34" i="58"/>
  <c r="V33" i="58"/>
  <c r="C33" i="58"/>
  <c r="D33" i="58"/>
  <c r="B33" i="58"/>
  <c r="V32" i="58"/>
  <c r="D32" i="58"/>
  <c r="B32" i="58"/>
  <c r="V31" i="58"/>
  <c r="D31" i="58"/>
  <c r="B31" i="58"/>
  <c r="V30" i="58"/>
  <c r="D30" i="58"/>
  <c r="B30" i="58"/>
  <c r="V29" i="58"/>
  <c r="D29" i="58"/>
  <c r="B29" i="58"/>
  <c r="V28" i="58"/>
  <c r="D28" i="58"/>
  <c r="B28" i="58"/>
  <c r="V27" i="58"/>
  <c r="D27" i="58"/>
  <c r="B27" i="58"/>
  <c r="V26" i="58"/>
  <c r="D26" i="58"/>
  <c r="B26" i="58"/>
  <c r="V25" i="58"/>
  <c r="D25" i="58"/>
  <c r="B25" i="58"/>
  <c r="V24" i="58"/>
  <c r="Q7" i="58"/>
  <c r="O6" i="58"/>
  <c r="U2" i="58"/>
  <c r="D24" i="58"/>
  <c r="B24" i="58"/>
  <c r="V23" i="58"/>
  <c r="D23" i="58"/>
  <c r="B23" i="58"/>
  <c r="V22" i="58"/>
  <c r="D22" i="58"/>
  <c r="B22" i="58"/>
  <c r="V21" i="58"/>
  <c r="D21" i="58"/>
  <c r="B21" i="58"/>
  <c r="V20" i="58"/>
  <c r="D20" i="58"/>
  <c r="B20" i="58"/>
  <c r="V19" i="58"/>
  <c r="D19" i="58"/>
  <c r="B19" i="58"/>
  <c r="V18" i="58"/>
  <c r="D18" i="58"/>
  <c r="B18" i="58"/>
  <c r="V17" i="58"/>
  <c r="D17" i="58"/>
  <c r="B17" i="58"/>
  <c r="V16" i="58"/>
  <c r="D16" i="58"/>
  <c r="B16" i="58"/>
  <c r="V15" i="58"/>
  <c r="D15" i="58"/>
  <c r="B15" i="58"/>
  <c r="V14" i="58"/>
  <c r="D14" i="58"/>
  <c r="B14" i="58"/>
  <c r="V13" i="58"/>
  <c r="D13" i="58"/>
  <c r="B13" i="58"/>
  <c r="V12" i="58"/>
  <c r="D12" i="58"/>
  <c r="B12" i="58"/>
  <c r="V11" i="58"/>
  <c r="D11" i="58"/>
  <c r="B11" i="58"/>
  <c r="V10" i="58"/>
  <c r="D10" i="58"/>
  <c r="B10" i="58"/>
  <c r="V9" i="58"/>
  <c r="Q9" i="58"/>
  <c r="D9" i="58"/>
  <c r="B9" i="58"/>
  <c r="V8" i="58"/>
  <c r="D8" i="58"/>
  <c r="B8" i="58"/>
  <c r="V7" i="58"/>
  <c r="D7" i="58"/>
  <c r="B7" i="58"/>
  <c r="V6" i="58"/>
  <c r="D6" i="58"/>
  <c r="B6" i="58"/>
  <c r="V5" i="58"/>
  <c r="D5" i="58"/>
  <c r="B5" i="58"/>
  <c r="V4" i="58"/>
  <c r="D4" i="58"/>
  <c r="B4" i="58"/>
  <c r="V3" i="58"/>
  <c r="D3" i="58"/>
  <c r="B3" i="58"/>
  <c r="V2" i="58"/>
  <c r="D2" i="58"/>
  <c r="B2" i="58"/>
  <c r="P26" i="53"/>
  <c r="P2" i="53"/>
  <c r="P10" i="53"/>
  <c r="P12" i="53"/>
  <c r="P24" i="53"/>
  <c r="F9" i="53"/>
  <c r="F12" i="53"/>
  <c r="N14" i="50"/>
  <c r="O14" i="50"/>
  <c r="O28" i="53"/>
  <c r="F10" i="53"/>
  <c r="F11" i="53"/>
  <c r="F13" i="53"/>
  <c r="F14" i="53"/>
  <c r="F16" i="53"/>
  <c r="F17" i="53"/>
  <c r="F18" i="53"/>
  <c r="F19" i="53"/>
  <c r="F20" i="53"/>
  <c r="F21" i="53"/>
  <c r="F23" i="53"/>
  <c r="F24" i="53"/>
  <c r="F25" i="53"/>
  <c r="F26" i="53"/>
  <c r="F27" i="53"/>
  <c r="F28" i="53"/>
  <c r="F30" i="53"/>
  <c r="F31" i="53"/>
  <c r="F32" i="53"/>
  <c r="C2" i="50"/>
  <c r="C3" i="50"/>
  <c r="C4" i="50"/>
  <c r="C5" i="50"/>
  <c r="C6" i="50"/>
  <c r="C7" i="50"/>
  <c r="C8" i="50"/>
  <c r="C9" i="50"/>
  <c r="C10" i="50"/>
  <c r="C11" i="50"/>
  <c r="C12" i="50"/>
  <c r="C13" i="50"/>
  <c r="C14" i="50"/>
  <c r="C15" i="50"/>
  <c r="C16" i="50"/>
  <c r="C17" i="50"/>
  <c r="C18" i="50"/>
  <c r="C19" i="50"/>
  <c r="C20" i="50"/>
  <c r="C21" i="50"/>
  <c r="C22" i="50"/>
  <c r="C23" i="50"/>
  <c r="C24" i="50"/>
  <c r="C25" i="50"/>
  <c r="C26" i="50"/>
  <c r="C27" i="50"/>
  <c r="C28" i="50"/>
  <c r="C29" i="50"/>
  <c r="C30" i="50"/>
  <c r="C31" i="50"/>
  <c r="C32" i="50"/>
  <c r="N4" i="50"/>
  <c r="N2" i="50"/>
  <c r="N10" i="50"/>
  <c r="N12" i="50"/>
  <c r="N24" i="50"/>
  <c r="O26" i="50"/>
  <c r="C2" i="53"/>
  <c r="D2" i="53"/>
  <c r="C3" i="53"/>
  <c r="D3" i="53"/>
  <c r="C4" i="53"/>
  <c r="D4" i="53"/>
  <c r="C5" i="53"/>
  <c r="D5" i="53"/>
  <c r="C6" i="53"/>
  <c r="D6" i="53"/>
  <c r="C7" i="53"/>
  <c r="D7" i="53"/>
  <c r="C8" i="53"/>
  <c r="D8" i="53"/>
  <c r="C9" i="53"/>
  <c r="D9" i="53"/>
  <c r="C10" i="53"/>
  <c r="D10" i="53"/>
  <c r="C11" i="53"/>
  <c r="D11" i="53"/>
  <c r="C12" i="53"/>
  <c r="D12" i="53"/>
  <c r="C13" i="53"/>
  <c r="D13" i="53"/>
  <c r="C14" i="53"/>
  <c r="D14" i="53"/>
  <c r="C15" i="53"/>
  <c r="D15" i="53"/>
  <c r="C16" i="53"/>
  <c r="D16" i="53"/>
  <c r="C17" i="53"/>
  <c r="D17" i="53"/>
  <c r="C18" i="53"/>
  <c r="D18" i="53"/>
  <c r="C19" i="53"/>
  <c r="D19" i="53"/>
  <c r="C20" i="53"/>
  <c r="D20" i="53"/>
  <c r="C21" i="53"/>
  <c r="D21" i="53"/>
  <c r="C22" i="53"/>
  <c r="D22" i="53"/>
  <c r="C23" i="53"/>
  <c r="D23" i="53"/>
  <c r="C24" i="53"/>
  <c r="D24" i="53"/>
  <c r="C25" i="53"/>
  <c r="D25" i="53"/>
  <c r="C26" i="53"/>
  <c r="D26" i="53"/>
  <c r="C27" i="53"/>
  <c r="D27" i="53"/>
  <c r="C28" i="53"/>
  <c r="D28" i="53"/>
  <c r="C29" i="53"/>
  <c r="D29" i="53"/>
  <c r="C30" i="53"/>
  <c r="D30" i="53"/>
  <c r="C31" i="53"/>
  <c r="D31" i="53"/>
  <c r="C32" i="53"/>
  <c r="D32" i="53"/>
  <c r="C33" i="53"/>
  <c r="D33" i="53"/>
  <c r="C34" i="53"/>
  <c r="D34" i="53"/>
  <c r="C35" i="53"/>
  <c r="D35" i="53"/>
  <c r="O40" i="53"/>
  <c r="O42" i="53"/>
  <c r="O6" i="53"/>
  <c r="U2" i="53"/>
  <c r="N14" i="45"/>
  <c r="C7" i="45"/>
  <c r="C8" i="45"/>
  <c r="C9" i="45"/>
  <c r="C10" i="45"/>
  <c r="C11" i="45"/>
  <c r="C12" i="45"/>
  <c r="C13" i="45"/>
  <c r="C14" i="45"/>
  <c r="C15" i="45"/>
  <c r="C16" i="45"/>
  <c r="C17" i="45"/>
  <c r="C18" i="45"/>
  <c r="C19" i="45"/>
  <c r="C20" i="45"/>
  <c r="C21" i="45"/>
  <c r="C22" i="45"/>
  <c r="C23" i="45"/>
  <c r="C24" i="45"/>
  <c r="C25" i="45"/>
  <c r="C26" i="45"/>
  <c r="C27" i="45"/>
  <c r="C28" i="45"/>
  <c r="C29" i="45"/>
  <c r="C30" i="45"/>
  <c r="C31" i="45"/>
  <c r="C32" i="45"/>
  <c r="N4" i="45"/>
  <c r="C6" i="45"/>
  <c r="N6" i="45"/>
  <c r="N2" i="45"/>
  <c r="T2" i="45"/>
  <c r="N10" i="45"/>
  <c r="N12" i="45"/>
  <c r="N24" i="45"/>
  <c r="O22" i="45"/>
  <c r="N14" i="55"/>
  <c r="C2" i="55"/>
  <c r="C3" i="55"/>
  <c r="C4" i="55"/>
  <c r="C5" i="55"/>
  <c r="C6" i="55"/>
  <c r="C7" i="55"/>
  <c r="C8" i="55"/>
  <c r="C9" i="55"/>
  <c r="C10" i="55"/>
  <c r="C11" i="55"/>
  <c r="C12" i="55"/>
  <c r="C13" i="55"/>
  <c r="C14" i="55"/>
  <c r="C15" i="55"/>
  <c r="C16" i="55"/>
  <c r="C17" i="55"/>
  <c r="C18" i="55"/>
  <c r="C19" i="55"/>
  <c r="C20" i="55"/>
  <c r="C21" i="55"/>
  <c r="C22" i="55"/>
  <c r="C23" i="55"/>
  <c r="C24" i="55"/>
  <c r="C25" i="55"/>
  <c r="C26" i="55"/>
  <c r="C27" i="55"/>
  <c r="C28" i="55"/>
  <c r="C29" i="55"/>
  <c r="C30" i="55"/>
  <c r="C31" i="55"/>
  <c r="C32" i="55"/>
  <c r="N4" i="55"/>
  <c r="N2" i="55"/>
  <c r="N42" i="55"/>
  <c r="U35" i="55"/>
  <c r="C35" i="55"/>
  <c r="D35" i="55"/>
  <c r="B35" i="55"/>
  <c r="U34" i="55"/>
  <c r="C34" i="55"/>
  <c r="D34" i="55"/>
  <c r="B34" i="55"/>
  <c r="U33" i="55"/>
  <c r="C33" i="55"/>
  <c r="D33" i="55"/>
  <c r="B33" i="55"/>
  <c r="U32" i="55"/>
  <c r="D32" i="55"/>
  <c r="B32" i="55"/>
  <c r="U31" i="55"/>
  <c r="D31" i="55"/>
  <c r="B31" i="55"/>
  <c r="U30" i="55"/>
  <c r="D30" i="55"/>
  <c r="B30" i="55"/>
  <c r="U29" i="55"/>
  <c r="D29" i="55"/>
  <c r="B29" i="55"/>
  <c r="U28" i="55"/>
  <c r="D28" i="55"/>
  <c r="B28" i="55"/>
  <c r="U27" i="55"/>
  <c r="D27" i="55"/>
  <c r="B27" i="55"/>
  <c r="U26" i="55"/>
  <c r="O26" i="55"/>
  <c r="D26" i="55"/>
  <c r="B26" i="55"/>
  <c r="U25" i="55"/>
  <c r="D25" i="55"/>
  <c r="B25" i="55"/>
  <c r="U24" i="55"/>
  <c r="O2" i="55"/>
  <c r="O10" i="55"/>
  <c r="O14" i="55"/>
  <c r="O12" i="55"/>
  <c r="P7" i="55"/>
  <c r="O24" i="55"/>
  <c r="T2" i="55"/>
  <c r="N10" i="55"/>
  <c r="N12" i="55"/>
  <c r="N24" i="55"/>
  <c r="D24" i="55"/>
  <c r="B24" i="55"/>
  <c r="U23" i="55"/>
  <c r="D23" i="55"/>
  <c r="B23" i="55"/>
  <c r="U22" i="55"/>
  <c r="D22" i="55"/>
  <c r="B22" i="55"/>
  <c r="U21" i="55"/>
  <c r="D21" i="55"/>
  <c r="B21" i="55"/>
  <c r="U20" i="55"/>
  <c r="D20" i="55"/>
  <c r="B20" i="55"/>
  <c r="U19" i="55"/>
  <c r="D19" i="55"/>
  <c r="B19" i="55"/>
  <c r="U18" i="55"/>
  <c r="D18" i="55"/>
  <c r="B18" i="55"/>
  <c r="U17" i="55"/>
  <c r="D17" i="55"/>
  <c r="B17" i="55"/>
  <c r="U16" i="55"/>
  <c r="D16" i="55"/>
  <c r="B16" i="55"/>
  <c r="U15" i="55"/>
  <c r="D15" i="55"/>
  <c r="B15" i="55"/>
  <c r="U14" i="55"/>
  <c r="D14" i="55"/>
  <c r="B14" i="55"/>
  <c r="U13" i="55"/>
  <c r="D13" i="55"/>
  <c r="B13" i="55"/>
  <c r="U12" i="55"/>
  <c r="D12" i="55"/>
  <c r="B12" i="55"/>
  <c r="U11" i="55"/>
  <c r="D11" i="55"/>
  <c r="B11" i="55"/>
  <c r="U10" i="55"/>
  <c r="D10" i="55"/>
  <c r="B10" i="55"/>
  <c r="U9" i="55"/>
  <c r="P9" i="55"/>
  <c r="D9" i="55"/>
  <c r="B9" i="55"/>
  <c r="U8" i="55"/>
  <c r="D8" i="55"/>
  <c r="B8" i="55"/>
  <c r="U7" i="55"/>
  <c r="D7" i="55"/>
  <c r="B7" i="55"/>
  <c r="U6" i="55"/>
  <c r="D6" i="55"/>
  <c r="B6" i="55"/>
  <c r="U5" i="55"/>
  <c r="D5" i="55"/>
  <c r="B5" i="55"/>
  <c r="U4" i="55"/>
  <c r="D4" i="55"/>
  <c r="B4" i="55"/>
  <c r="U3" i="55"/>
  <c r="D3" i="55"/>
  <c r="B3" i="55"/>
  <c r="U2" i="55"/>
  <c r="D2" i="55"/>
  <c r="B2" i="55"/>
  <c r="AA37" i="54"/>
  <c r="U37" i="54"/>
  <c r="S37" i="54"/>
  <c r="Q37" i="54"/>
  <c r="O37" i="54"/>
  <c r="AE35" i="54"/>
  <c r="P35" i="54"/>
  <c r="L35" i="54"/>
  <c r="K35" i="54"/>
  <c r="H35" i="54"/>
  <c r="D35" i="54"/>
  <c r="C35" i="54"/>
  <c r="A35" i="54"/>
  <c r="AI8" i="54"/>
  <c r="AH9" i="54"/>
  <c r="AJ6" i="54"/>
  <c r="AI6" i="54"/>
  <c r="AH6" i="54"/>
  <c r="AK3" i="54"/>
  <c r="AJ3" i="54"/>
  <c r="V35" i="53"/>
  <c r="B35" i="53"/>
  <c r="V34" i="53"/>
  <c r="B34" i="53"/>
  <c r="V33" i="53"/>
  <c r="B33" i="53"/>
  <c r="V32" i="53"/>
  <c r="B32" i="53"/>
  <c r="V31" i="53"/>
  <c r="B31" i="53"/>
  <c r="V30" i="53"/>
  <c r="B30" i="53"/>
  <c r="V29" i="53"/>
  <c r="B29" i="53"/>
  <c r="V28" i="53"/>
  <c r="B28" i="53"/>
  <c r="V27" i="53"/>
  <c r="B27" i="53"/>
  <c r="V26" i="53"/>
  <c r="B26" i="53"/>
  <c r="V25" i="53"/>
  <c r="B25" i="53"/>
  <c r="V24" i="53"/>
  <c r="Q7" i="53"/>
  <c r="B24" i="53"/>
  <c r="V23" i="53"/>
  <c r="B23" i="53"/>
  <c r="V22" i="53"/>
  <c r="B22" i="53"/>
  <c r="V21" i="53"/>
  <c r="B21" i="53"/>
  <c r="V20" i="53"/>
  <c r="B20" i="53"/>
  <c r="V19" i="53"/>
  <c r="B19" i="53"/>
  <c r="V18" i="53"/>
  <c r="B18" i="53"/>
  <c r="V17" i="53"/>
  <c r="B17" i="53"/>
  <c r="V16" i="53"/>
  <c r="B16" i="53"/>
  <c r="V15" i="53"/>
  <c r="B15" i="53"/>
  <c r="V14" i="53"/>
  <c r="B14" i="53"/>
  <c r="V13" i="53"/>
  <c r="B13" i="53"/>
  <c r="V12" i="53"/>
  <c r="B12" i="53"/>
  <c r="V11" i="53"/>
  <c r="B11" i="53"/>
  <c r="V10" i="53"/>
  <c r="B10" i="53"/>
  <c r="V9" i="53"/>
  <c r="Q9" i="53"/>
  <c r="B9" i="53"/>
  <c r="V8" i="53"/>
  <c r="B8" i="53"/>
  <c r="V7" i="53"/>
  <c r="B7" i="53"/>
  <c r="V6" i="53"/>
  <c r="B6" i="53"/>
  <c r="V5" i="53"/>
  <c r="B5" i="53"/>
  <c r="V4" i="53"/>
  <c r="B4" i="53"/>
  <c r="V3" i="53"/>
  <c r="B3" i="53"/>
  <c r="V2" i="53"/>
  <c r="B2" i="53"/>
  <c r="N42" i="50"/>
  <c r="M35" i="46"/>
  <c r="AG6" i="46"/>
  <c r="O3" i="46"/>
  <c r="O35" i="46"/>
  <c r="N16" i="50"/>
  <c r="N28" i="50"/>
  <c r="O14" i="45"/>
  <c r="O2" i="45"/>
  <c r="C33" i="50"/>
  <c r="C34" i="50"/>
  <c r="C35" i="50"/>
  <c r="C2" i="45"/>
  <c r="C3" i="45"/>
  <c r="C4" i="45"/>
  <c r="C5" i="45"/>
  <c r="C33" i="45"/>
  <c r="C34" i="45"/>
  <c r="C35" i="45"/>
  <c r="D6" i="45"/>
  <c r="D2" i="45"/>
  <c r="D3" i="45"/>
  <c r="D4" i="45"/>
  <c r="D5" i="45"/>
  <c r="D7" i="45"/>
  <c r="D8" i="45"/>
  <c r="D9" i="45"/>
  <c r="D10" i="45"/>
  <c r="D11" i="45"/>
  <c r="D12" i="45"/>
  <c r="D13" i="45"/>
  <c r="D14" i="45"/>
  <c r="D15" i="45"/>
  <c r="D16" i="45"/>
  <c r="D17" i="45"/>
  <c r="D18" i="45"/>
  <c r="D19" i="45"/>
  <c r="D20" i="45"/>
  <c r="D21" i="45"/>
  <c r="D22" i="45"/>
  <c r="D23" i="45"/>
  <c r="D24" i="45"/>
  <c r="D25" i="45"/>
  <c r="D26" i="45"/>
  <c r="D27" i="45"/>
  <c r="D28" i="45"/>
  <c r="D29" i="45"/>
  <c r="D30" i="45"/>
  <c r="D31" i="45"/>
  <c r="D32" i="45"/>
  <c r="D33" i="45"/>
  <c r="D34" i="45"/>
  <c r="D35" i="45"/>
  <c r="T3" i="45"/>
  <c r="T4" i="45"/>
  <c r="T5" i="45"/>
  <c r="T6" i="45"/>
  <c r="T7" i="45"/>
  <c r="G35" i="46"/>
  <c r="F35" i="46"/>
  <c r="T8" i="45"/>
  <c r="T9" i="45"/>
  <c r="T10" i="45"/>
  <c r="T11" i="45"/>
  <c r="T12" i="45"/>
  <c r="T13" i="45"/>
  <c r="T14" i="45"/>
  <c r="T15" i="45"/>
  <c r="T16" i="45"/>
  <c r="T17" i="45"/>
  <c r="T18" i="45"/>
  <c r="T19" i="45"/>
  <c r="T20" i="45"/>
  <c r="T21" i="45"/>
  <c r="T22" i="45"/>
  <c r="T23" i="45"/>
  <c r="T24" i="45"/>
  <c r="T25" i="45"/>
  <c r="T26" i="45"/>
  <c r="T27" i="45"/>
  <c r="T28" i="45"/>
  <c r="T29" i="45"/>
  <c r="T30" i="45"/>
  <c r="T31" i="45"/>
  <c r="T32" i="45"/>
  <c r="T33" i="45"/>
  <c r="T34" i="45"/>
  <c r="T35" i="45"/>
  <c r="U35" i="50"/>
  <c r="D35" i="50"/>
  <c r="B35" i="50"/>
  <c r="U34" i="50"/>
  <c r="D34" i="50"/>
  <c r="B34" i="50"/>
  <c r="U33" i="50"/>
  <c r="D33" i="50"/>
  <c r="B33" i="50"/>
  <c r="U32" i="50"/>
  <c r="D32" i="50"/>
  <c r="B32" i="50"/>
  <c r="U31" i="50"/>
  <c r="D31" i="50"/>
  <c r="B31" i="50"/>
  <c r="U30" i="50"/>
  <c r="D30" i="50"/>
  <c r="B30" i="50"/>
  <c r="U29" i="50"/>
  <c r="D29" i="50"/>
  <c r="B29" i="50"/>
  <c r="U28" i="50"/>
  <c r="D28" i="50"/>
  <c r="B28" i="50"/>
  <c r="U27" i="50"/>
  <c r="D27" i="50"/>
  <c r="B27" i="50"/>
  <c r="U26" i="50"/>
  <c r="D26" i="50"/>
  <c r="B26" i="50"/>
  <c r="U25" i="50"/>
  <c r="D25" i="50"/>
  <c r="B25" i="50"/>
  <c r="U24" i="50"/>
  <c r="O2" i="50"/>
  <c r="O10" i="50"/>
  <c r="O12" i="50"/>
  <c r="P7" i="50"/>
  <c r="O24" i="50"/>
  <c r="T2" i="50"/>
  <c r="S35" i="46"/>
  <c r="U35" i="46"/>
  <c r="Q35" i="46"/>
  <c r="W35" i="46"/>
  <c r="AC35" i="46"/>
  <c r="D24" i="50"/>
  <c r="B24" i="50"/>
  <c r="U23" i="50"/>
  <c r="D23" i="50"/>
  <c r="B23" i="50"/>
  <c r="U22" i="50"/>
  <c r="D22" i="50"/>
  <c r="B22" i="50"/>
  <c r="U21" i="50"/>
  <c r="D21" i="50"/>
  <c r="B21" i="50"/>
  <c r="U20" i="50"/>
  <c r="D20" i="50"/>
  <c r="B20" i="50"/>
  <c r="U19" i="50"/>
  <c r="D19" i="50"/>
  <c r="B19" i="50"/>
  <c r="U18" i="50"/>
  <c r="D18" i="50"/>
  <c r="B18" i="50"/>
  <c r="U17" i="50"/>
  <c r="D17" i="50"/>
  <c r="B17" i="50"/>
  <c r="U16" i="50"/>
  <c r="D16" i="50"/>
  <c r="B16" i="50"/>
  <c r="U15" i="50"/>
  <c r="D15" i="50"/>
  <c r="B15" i="50"/>
  <c r="U14" i="50"/>
  <c r="D14" i="50"/>
  <c r="B14" i="50"/>
  <c r="U13" i="50"/>
  <c r="D13" i="50"/>
  <c r="B13" i="50"/>
  <c r="U12" i="50"/>
  <c r="D12" i="50"/>
  <c r="B12" i="50"/>
  <c r="U11" i="50"/>
  <c r="D11" i="50"/>
  <c r="B11" i="50"/>
  <c r="U10" i="50"/>
  <c r="D10" i="50"/>
  <c r="B10" i="50"/>
  <c r="U9" i="50"/>
  <c r="P9" i="50"/>
  <c r="D9" i="50"/>
  <c r="B9" i="50"/>
  <c r="U8" i="50"/>
  <c r="D8" i="50"/>
  <c r="B8" i="50"/>
  <c r="U7" i="50"/>
  <c r="D7" i="50"/>
  <c r="B7" i="50"/>
  <c r="U6" i="50"/>
  <c r="D6" i="50"/>
  <c r="B6" i="50"/>
  <c r="U5" i="50"/>
  <c r="D5" i="50"/>
  <c r="B5" i="50"/>
  <c r="U4" i="50"/>
  <c r="D4" i="50"/>
  <c r="B4" i="50"/>
  <c r="U3" i="50"/>
  <c r="D3" i="50"/>
  <c r="B3" i="50"/>
  <c r="U2" i="50"/>
  <c r="D2" i="50"/>
  <c r="B2" i="50"/>
  <c r="I35" i="46"/>
  <c r="W37" i="46"/>
  <c r="U37" i="46"/>
  <c r="S37" i="46"/>
  <c r="Q37" i="46"/>
  <c r="O37" i="46"/>
  <c r="AA35" i="46"/>
  <c r="Y35" i="46"/>
  <c r="P35" i="46"/>
  <c r="N35" i="46"/>
  <c r="L35" i="46"/>
  <c r="K35" i="46"/>
  <c r="H35" i="46"/>
  <c r="D35" i="46"/>
  <c r="C35" i="46"/>
  <c r="A35" i="46"/>
  <c r="AE8" i="46"/>
  <c r="AD9" i="46"/>
  <c r="AF6" i="46"/>
  <c r="AE6" i="46"/>
  <c r="AD6" i="46"/>
  <c r="AG3" i="46"/>
  <c r="AF3" i="46"/>
  <c r="U35" i="45"/>
  <c r="B35" i="45"/>
  <c r="U34" i="45"/>
  <c r="B34" i="45"/>
  <c r="U33" i="45"/>
  <c r="B33" i="45"/>
  <c r="U32" i="45"/>
  <c r="B32" i="45"/>
  <c r="U31" i="45"/>
  <c r="B31" i="45"/>
  <c r="U30" i="45"/>
  <c r="B30" i="45"/>
  <c r="U29" i="45"/>
  <c r="B29" i="45"/>
  <c r="U28" i="45"/>
  <c r="B28" i="45"/>
  <c r="U27" i="45"/>
  <c r="B27" i="45"/>
  <c r="U26" i="45"/>
  <c r="O26" i="45"/>
  <c r="B26" i="45"/>
  <c r="U25" i="45"/>
  <c r="B25" i="45"/>
  <c r="U24" i="45"/>
  <c r="O10" i="45"/>
  <c r="O12" i="45"/>
  <c r="P7" i="45"/>
  <c r="O24" i="45"/>
  <c r="B24" i="45"/>
  <c r="U23" i="45"/>
  <c r="B23" i="45"/>
  <c r="U22" i="45"/>
  <c r="B22" i="45"/>
  <c r="U21" i="45"/>
  <c r="B21" i="45"/>
  <c r="U20" i="45"/>
  <c r="B20" i="45"/>
  <c r="U19" i="45"/>
  <c r="B19" i="45"/>
  <c r="U18" i="45"/>
  <c r="B18" i="45"/>
  <c r="U17" i="45"/>
  <c r="B17" i="45"/>
  <c r="U16" i="45"/>
  <c r="B16" i="45"/>
  <c r="U15" i="45"/>
  <c r="B15" i="45"/>
  <c r="U14" i="45"/>
  <c r="B14" i="45"/>
  <c r="U13" i="45"/>
  <c r="B13" i="45"/>
  <c r="U12" i="45"/>
  <c r="B12" i="45"/>
  <c r="U11" i="45"/>
  <c r="B11" i="45"/>
  <c r="U10" i="45"/>
  <c r="B10" i="45"/>
  <c r="U9" i="45"/>
  <c r="P9" i="45"/>
  <c r="B9" i="45"/>
  <c r="U8" i="45"/>
  <c r="B8" i="45"/>
  <c r="U7" i="45"/>
  <c r="B7" i="45"/>
  <c r="U6" i="45"/>
  <c r="B6" i="45"/>
  <c r="U5" i="45"/>
  <c r="B5" i="45"/>
  <c r="U4" i="45"/>
  <c r="B4" i="45"/>
  <c r="U3" i="45"/>
  <c r="B3" i="45"/>
  <c r="U2" i="45"/>
  <c r="B2" i="45"/>
  <c r="M3" i="26"/>
  <c r="Q3" i="26"/>
  <c r="R3" i="26"/>
  <c r="S3" i="26"/>
  <c r="M4" i="26"/>
  <c r="Q4" i="26"/>
  <c r="R4" i="26"/>
  <c r="S4" i="26"/>
  <c r="M5" i="26"/>
  <c r="Q5" i="26"/>
  <c r="R5" i="26"/>
  <c r="S5" i="26"/>
  <c r="M6" i="26"/>
  <c r="Q6" i="26"/>
  <c r="R6" i="26"/>
  <c r="S6" i="26"/>
  <c r="M7" i="26"/>
  <c r="Q7" i="26"/>
  <c r="R7" i="26"/>
  <c r="S7" i="26"/>
  <c r="M8" i="26"/>
  <c r="Q8" i="26"/>
  <c r="R8" i="26"/>
  <c r="S8" i="26"/>
  <c r="M9" i="26"/>
  <c r="Q9" i="26"/>
  <c r="R9" i="26"/>
  <c r="S9" i="26"/>
  <c r="M10" i="26"/>
  <c r="Q10" i="26"/>
  <c r="R10" i="26"/>
  <c r="S10" i="26"/>
  <c r="S20" i="26"/>
  <c r="R20" i="26"/>
  <c r="Q20" i="26"/>
  <c r="O20" i="26"/>
  <c r="N20" i="26"/>
  <c r="M20" i="26"/>
  <c r="L20" i="26"/>
  <c r="K20" i="26"/>
  <c r="J20" i="26"/>
  <c r="I3" i="26"/>
  <c r="I4" i="26"/>
  <c r="I5" i="26"/>
  <c r="I6" i="26"/>
  <c r="I7" i="26"/>
  <c r="I8" i="26"/>
  <c r="I9" i="26"/>
  <c r="I10" i="26"/>
  <c r="I11" i="26"/>
  <c r="I20" i="26"/>
  <c r="H20" i="26"/>
  <c r="G20" i="26"/>
  <c r="F20" i="26"/>
  <c r="E3" i="26"/>
  <c r="E6" i="26"/>
  <c r="E7" i="26"/>
  <c r="E9" i="26"/>
  <c r="E10" i="26"/>
  <c r="E20" i="26"/>
  <c r="D20" i="26"/>
  <c r="X14" i="26"/>
  <c r="E8" i="26"/>
  <c r="E5" i="26"/>
  <c r="E4" i="26"/>
  <c r="AC27" i="18"/>
  <c r="AA27" i="18"/>
  <c r="Y27" i="18"/>
  <c r="W27" i="18"/>
  <c r="U27" i="18"/>
  <c r="S27" i="18"/>
  <c r="Q27" i="18"/>
  <c r="P27" i="18"/>
  <c r="F27" i="18"/>
  <c r="G27" i="18"/>
  <c r="I27" i="18"/>
  <c r="N27" i="18"/>
  <c r="AG6" i="18"/>
  <c r="O3" i="18"/>
  <c r="O27" i="18"/>
  <c r="M27" i="18"/>
  <c r="L27" i="18"/>
  <c r="K27" i="18"/>
  <c r="H27" i="18"/>
  <c r="D27" i="18"/>
  <c r="C27" i="18"/>
  <c r="A27" i="18"/>
  <c r="AD9" i="18"/>
  <c r="AF6" i="18"/>
  <c r="AE6" i="18"/>
  <c r="AD6" i="18"/>
  <c r="O5" i="18"/>
  <c r="AG3" i="18"/>
  <c r="AF3" i="18"/>
  <c r="S28" i="17"/>
  <c r="Q28" i="17"/>
  <c r="AC27" i="17"/>
  <c r="AA27" i="17"/>
  <c r="Y27" i="17"/>
  <c r="W27" i="17"/>
  <c r="U27" i="17"/>
  <c r="S27" i="17"/>
  <c r="Q27" i="17"/>
  <c r="P27" i="17"/>
  <c r="F27" i="17"/>
  <c r="G27" i="17"/>
  <c r="I27" i="17"/>
  <c r="N27" i="17"/>
  <c r="AG6" i="17"/>
  <c r="O3" i="17"/>
  <c r="O27" i="17"/>
  <c r="M27" i="17"/>
  <c r="L27" i="17"/>
  <c r="K27" i="17"/>
  <c r="H27" i="17"/>
  <c r="D27" i="17"/>
  <c r="C27" i="17"/>
  <c r="A27" i="17"/>
  <c r="AD9" i="17"/>
  <c r="AF6" i="17"/>
  <c r="AE6" i="17"/>
  <c r="AD6" i="17"/>
  <c r="O5" i="17"/>
  <c r="AG3" i="17"/>
  <c r="AF3" i="17"/>
  <c r="S28" i="16"/>
  <c r="Q28" i="16"/>
  <c r="AC27" i="16"/>
  <c r="AA27" i="16"/>
  <c r="Y27" i="16"/>
  <c r="W27" i="16"/>
  <c r="U27" i="16"/>
  <c r="S27" i="16"/>
  <c r="Q27" i="16"/>
  <c r="P27" i="16"/>
  <c r="F27" i="16"/>
  <c r="G27" i="16"/>
  <c r="I27" i="16"/>
  <c r="N27" i="16"/>
  <c r="AG6" i="16"/>
  <c r="O3" i="16"/>
  <c r="O27" i="16"/>
  <c r="M27" i="16"/>
  <c r="L27" i="16"/>
  <c r="K27" i="16"/>
  <c r="H27" i="16"/>
  <c r="D27" i="16"/>
  <c r="C27" i="16"/>
  <c r="A27" i="16"/>
  <c r="AD9" i="16"/>
  <c r="AF6" i="16"/>
  <c r="AE6" i="16"/>
  <c r="AD6" i="16"/>
  <c r="O5" i="16"/>
  <c r="AG3" i="16"/>
  <c r="AF3" i="16"/>
  <c r="N26" i="13"/>
  <c r="S28" i="14"/>
  <c r="AC27" i="14"/>
  <c r="AA27" i="14"/>
  <c r="Y27" i="14"/>
  <c r="W27" i="14"/>
  <c r="U27" i="14"/>
  <c r="S27" i="14"/>
  <c r="Q27" i="14"/>
  <c r="P27" i="14"/>
  <c r="F27" i="14"/>
  <c r="G27" i="14"/>
  <c r="I27" i="14"/>
  <c r="N27" i="14"/>
  <c r="AG6" i="14"/>
  <c r="O3" i="14"/>
  <c r="O27" i="14"/>
  <c r="M27" i="14"/>
  <c r="L27" i="14"/>
  <c r="K27" i="14"/>
  <c r="H27" i="14"/>
  <c r="D27" i="14"/>
  <c r="C27" i="14"/>
  <c r="A27" i="14"/>
  <c r="AD9" i="14"/>
  <c r="AF6" i="14"/>
  <c r="AE6" i="14"/>
  <c r="AD6" i="14"/>
  <c r="O5" i="14"/>
  <c r="AG3" i="14"/>
  <c r="AF3" i="14"/>
  <c r="B40" i="13"/>
  <c r="T32" i="13"/>
  <c r="D32" i="13"/>
  <c r="B32" i="13"/>
  <c r="T31" i="13"/>
  <c r="D31" i="13"/>
  <c r="B31" i="13"/>
  <c r="T30" i="13"/>
  <c r="D30" i="13"/>
  <c r="B30" i="13"/>
  <c r="T29" i="13"/>
  <c r="D29" i="13"/>
  <c r="B29" i="13"/>
  <c r="T28" i="13"/>
  <c r="N26" i="11"/>
  <c r="M28" i="13"/>
  <c r="D28" i="13"/>
  <c r="B28" i="13"/>
  <c r="T27" i="13"/>
  <c r="D27" i="13"/>
  <c r="B27" i="13"/>
  <c r="T26" i="13"/>
  <c r="D26" i="13"/>
  <c r="B26" i="13"/>
  <c r="T25" i="13"/>
  <c r="D25" i="13"/>
  <c r="B25" i="13"/>
  <c r="T24" i="13"/>
  <c r="N2" i="13"/>
  <c r="T2" i="13"/>
  <c r="N10" i="13"/>
  <c r="N14" i="13"/>
  <c r="N12" i="13"/>
  <c r="O7" i="13"/>
  <c r="N24" i="13"/>
  <c r="M4" i="13"/>
  <c r="M2" i="13"/>
  <c r="S2" i="13"/>
  <c r="M10" i="13"/>
  <c r="M16" i="13"/>
  <c r="M14" i="13"/>
  <c r="M12" i="13"/>
  <c r="M24" i="13"/>
  <c r="D24" i="13"/>
  <c r="B24" i="13"/>
  <c r="T23" i="13"/>
  <c r="D23" i="13"/>
  <c r="B23" i="13"/>
  <c r="T22" i="13"/>
  <c r="D22" i="13"/>
  <c r="B22" i="13"/>
  <c r="T21" i="13"/>
  <c r="D21" i="13"/>
  <c r="B21" i="13"/>
  <c r="T20" i="13"/>
  <c r="D20" i="13"/>
  <c r="B20" i="13"/>
  <c r="T19" i="13"/>
  <c r="D19" i="13"/>
  <c r="B19" i="13"/>
  <c r="T18" i="13"/>
  <c r="D18" i="13"/>
  <c r="B18" i="13"/>
  <c r="T17" i="13"/>
  <c r="D17" i="13"/>
  <c r="B17" i="13"/>
  <c r="T16" i="13"/>
  <c r="D16" i="13"/>
  <c r="B16" i="13"/>
  <c r="T15" i="13"/>
  <c r="D15" i="13"/>
  <c r="B15" i="13"/>
  <c r="T14" i="13"/>
  <c r="D14" i="13"/>
  <c r="B14" i="13"/>
  <c r="T13" i="13"/>
  <c r="D13" i="13"/>
  <c r="B13" i="13"/>
  <c r="T12" i="13"/>
  <c r="D12" i="13"/>
  <c r="B12" i="13"/>
  <c r="T11" i="13"/>
  <c r="M4" i="9"/>
  <c r="M2" i="9"/>
  <c r="O11" i="13"/>
  <c r="D11" i="13"/>
  <c r="B11" i="13"/>
  <c r="T10" i="13"/>
  <c r="D10" i="13"/>
  <c r="B10" i="13"/>
  <c r="T9" i="13"/>
  <c r="O9" i="13"/>
  <c r="D9" i="13"/>
  <c r="B9" i="13"/>
  <c r="T8" i="13"/>
  <c r="D8" i="13"/>
  <c r="B8" i="13"/>
  <c r="T7" i="13"/>
  <c r="D7" i="13"/>
  <c r="B7" i="13"/>
  <c r="T6" i="13"/>
  <c r="D6" i="13"/>
  <c r="B6" i="13"/>
  <c r="T5" i="13"/>
  <c r="D5" i="13"/>
  <c r="B5" i="13"/>
  <c r="T4" i="13"/>
  <c r="D4" i="13"/>
  <c r="B4" i="13"/>
  <c r="T3" i="13"/>
  <c r="D3" i="13"/>
  <c r="B3" i="13"/>
  <c r="D2" i="13"/>
  <c r="B2" i="13"/>
  <c r="AC27" i="12"/>
  <c r="AA27" i="12"/>
  <c r="Y27" i="12"/>
  <c r="W27" i="12"/>
  <c r="U27" i="12"/>
  <c r="S27" i="12"/>
  <c r="Q27" i="12"/>
  <c r="P27" i="12"/>
  <c r="F27" i="12"/>
  <c r="G27" i="12"/>
  <c r="I27" i="12"/>
  <c r="M27" i="12"/>
  <c r="AG6" i="12"/>
  <c r="O3" i="12"/>
  <c r="AE8" i="12"/>
  <c r="AD9" i="12"/>
  <c r="O5" i="12"/>
  <c r="O27" i="12"/>
  <c r="N27" i="12"/>
  <c r="L27" i="12"/>
  <c r="K27" i="12"/>
  <c r="H27" i="12"/>
  <c r="D27" i="12"/>
  <c r="C27" i="12"/>
  <c r="A27" i="12"/>
  <c r="AF6" i="12"/>
  <c r="AE6" i="12"/>
  <c r="AD6" i="12"/>
  <c r="AG3" i="12"/>
  <c r="AF3" i="12"/>
  <c r="B40" i="11"/>
  <c r="S32" i="11"/>
  <c r="D32" i="11"/>
  <c r="B32" i="11"/>
  <c r="S31" i="11"/>
  <c r="D31" i="11"/>
  <c r="B31" i="11"/>
  <c r="S30" i="11"/>
  <c r="D30" i="11"/>
  <c r="B30" i="11"/>
  <c r="S29" i="11"/>
  <c r="D29" i="11"/>
  <c r="B29" i="11"/>
  <c r="S28" i="11"/>
  <c r="N26" i="9"/>
  <c r="M28" i="11"/>
  <c r="D28" i="11"/>
  <c r="B28" i="11"/>
  <c r="S27" i="11"/>
  <c r="D27" i="11"/>
  <c r="B27" i="11"/>
  <c r="T26" i="11"/>
  <c r="D26" i="11"/>
  <c r="B26" i="11"/>
  <c r="T25" i="11"/>
  <c r="D25" i="11"/>
  <c r="B25" i="11"/>
  <c r="T24" i="11"/>
  <c r="N2" i="11"/>
  <c r="T2" i="11"/>
  <c r="N10" i="11"/>
  <c r="N14" i="11"/>
  <c r="N12" i="11"/>
  <c r="O7" i="11"/>
  <c r="N24" i="11"/>
  <c r="M4" i="11"/>
  <c r="M2" i="11"/>
  <c r="S2" i="11"/>
  <c r="M10" i="11"/>
  <c r="M16" i="11"/>
  <c r="M14" i="11"/>
  <c r="M12" i="11"/>
  <c r="M24" i="11"/>
  <c r="D24" i="11"/>
  <c r="B24" i="11"/>
  <c r="T23" i="11"/>
  <c r="D23" i="11"/>
  <c r="B23" i="11"/>
  <c r="T22" i="11"/>
  <c r="D22" i="11"/>
  <c r="B22" i="11"/>
  <c r="T21" i="11"/>
  <c r="D21" i="11"/>
  <c r="B21" i="11"/>
  <c r="T20" i="11"/>
  <c r="D20" i="11"/>
  <c r="B20" i="11"/>
  <c r="T19" i="11"/>
  <c r="D19" i="11"/>
  <c r="B19" i="11"/>
  <c r="T18" i="11"/>
  <c r="D18" i="11"/>
  <c r="B18" i="11"/>
  <c r="T17" i="11"/>
  <c r="D17" i="11"/>
  <c r="B17" i="11"/>
  <c r="T16" i="11"/>
  <c r="D16" i="11"/>
  <c r="B16" i="11"/>
  <c r="T15" i="11"/>
  <c r="D15" i="11"/>
  <c r="B15" i="11"/>
  <c r="T14" i="11"/>
  <c r="D14" i="11"/>
  <c r="B14" i="11"/>
  <c r="T13" i="11"/>
  <c r="D13" i="11"/>
  <c r="B13" i="11"/>
  <c r="T12" i="11"/>
  <c r="D12" i="11"/>
  <c r="B12" i="11"/>
  <c r="T11" i="11"/>
  <c r="O11" i="11"/>
  <c r="D11" i="11"/>
  <c r="B11" i="11"/>
  <c r="T10" i="11"/>
  <c r="D10" i="11"/>
  <c r="B10" i="11"/>
  <c r="T9" i="11"/>
  <c r="O9" i="11"/>
  <c r="D9" i="11"/>
  <c r="B9" i="11"/>
  <c r="T8" i="11"/>
  <c r="D8" i="11"/>
  <c r="B8" i="11"/>
  <c r="T7" i="11"/>
  <c r="D7" i="11"/>
  <c r="B7" i="11"/>
  <c r="T6" i="11"/>
  <c r="D6" i="11"/>
  <c r="B6" i="11"/>
  <c r="T5" i="11"/>
  <c r="D5" i="11"/>
  <c r="B5" i="11"/>
  <c r="T4" i="11"/>
  <c r="D4" i="11"/>
  <c r="B4" i="11"/>
  <c r="T3" i="11"/>
  <c r="D3" i="11"/>
  <c r="B3" i="11"/>
  <c r="D2" i="11"/>
  <c r="B2" i="11"/>
  <c r="AC27" i="10"/>
  <c r="AA27" i="10"/>
  <c r="Y27" i="10"/>
  <c r="W27" i="10"/>
  <c r="U27" i="10"/>
  <c r="S27" i="10"/>
  <c r="Q27" i="10"/>
  <c r="P27" i="10"/>
  <c r="F27" i="10"/>
  <c r="G27" i="10"/>
  <c r="I27" i="10"/>
  <c r="M27" i="10"/>
  <c r="AG6" i="10"/>
  <c r="O3" i="10"/>
  <c r="AE8" i="10"/>
  <c r="AD9" i="10"/>
  <c r="O5" i="10"/>
  <c r="O27" i="10"/>
  <c r="N27" i="10"/>
  <c r="L27" i="10"/>
  <c r="K27" i="10"/>
  <c r="H27" i="10"/>
  <c r="D27" i="10"/>
  <c r="C27" i="10"/>
  <c r="A27" i="10"/>
  <c r="AF6" i="10"/>
  <c r="AE6" i="10"/>
  <c r="AD6" i="10"/>
  <c r="AG3" i="10"/>
  <c r="AF3" i="10"/>
  <c r="B40" i="9"/>
  <c r="S32" i="9"/>
  <c r="D32" i="9"/>
  <c r="B32" i="9"/>
  <c r="S31" i="9"/>
  <c r="D31" i="9"/>
  <c r="B31" i="9"/>
  <c r="S30" i="9"/>
  <c r="D30" i="9"/>
  <c r="B30" i="9"/>
  <c r="S29" i="9"/>
  <c r="D29" i="9"/>
  <c r="B29" i="9"/>
  <c r="S28" i="9"/>
  <c r="D28" i="9"/>
  <c r="B28" i="9"/>
  <c r="S27" i="9"/>
  <c r="D27" i="9"/>
  <c r="B27" i="9"/>
  <c r="T26" i="9"/>
  <c r="D26" i="9"/>
  <c r="B26" i="9"/>
  <c r="T25" i="9"/>
  <c r="D25" i="9"/>
  <c r="B25" i="9"/>
  <c r="T24" i="9"/>
  <c r="N14" i="9"/>
  <c r="N12" i="9"/>
  <c r="O7" i="9"/>
  <c r="N24" i="9"/>
  <c r="S2" i="9"/>
  <c r="M10" i="9"/>
  <c r="M16" i="9"/>
  <c r="M14" i="9"/>
  <c r="M12" i="9"/>
  <c r="M24" i="9"/>
  <c r="D24" i="9"/>
  <c r="B24" i="9"/>
  <c r="T23" i="9"/>
  <c r="D23" i="9"/>
  <c r="B23" i="9"/>
  <c r="T22" i="9"/>
  <c r="D22" i="9"/>
  <c r="B22" i="9"/>
  <c r="T21" i="9"/>
  <c r="D21" i="9"/>
  <c r="B21" i="9"/>
  <c r="T20" i="9"/>
  <c r="D20" i="9"/>
  <c r="B20" i="9"/>
  <c r="T19" i="9"/>
  <c r="D19" i="9"/>
  <c r="B19" i="9"/>
  <c r="T18" i="9"/>
  <c r="D18" i="9"/>
  <c r="B18" i="9"/>
  <c r="T17" i="9"/>
  <c r="D17" i="9"/>
  <c r="B17" i="9"/>
  <c r="T16" i="9"/>
  <c r="D16" i="9"/>
  <c r="B16" i="9"/>
  <c r="T15" i="9"/>
  <c r="D15" i="9"/>
  <c r="B15" i="9"/>
  <c r="T14" i="9"/>
  <c r="D14" i="9"/>
  <c r="B14" i="9"/>
  <c r="T13" i="9"/>
  <c r="D13" i="9"/>
  <c r="B13" i="9"/>
  <c r="T12" i="9"/>
  <c r="D12" i="9"/>
  <c r="B12" i="9"/>
  <c r="T11" i="9"/>
  <c r="D11" i="9"/>
  <c r="B11" i="9"/>
  <c r="T10" i="9"/>
  <c r="D10" i="9"/>
  <c r="B10" i="9"/>
  <c r="T9" i="9"/>
  <c r="O9" i="9"/>
  <c r="D9" i="9"/>
  <c r="B9" i="9"/>
  <c r="T8" i="9"/>
  <c r="D8" i="9"/>
  <c r="B8" i="9"/>
  <c r="T7" i="9"/>
  <c r="D7" i="9"/>
  <c r="B7" i="9"/>
  <c r="T6" i="9"/>
  <c r="D6" i="9"/>
  <c r="B6" i="9"/>
  <c r="T5" i="9"/>
  <c r="D5" i="9"/>
  <c r="B5" i="9"/>
  <c r="T4" i="9"/>
  <c r="D4" i="9"/>
  <c r="B4" i="9"/>
  <c r="T3" i="9"/>
  <c r="D3" i="9"/>
  <c r="B3" i="9"/>
  <c r="T2" i="9"/>
  <c r="D2" i="9"/>
  <c r="B2" i="9"/>
  <c r="AC27" i="8"/>
  <c r="AA27" i="8"/>
  <c r="Y27" i="8"/>
  <c r="W27" i="8"/>
  <c r="U27" i="8"/>
  <c r="S27" i="8"/>
  <c r="Q27" i="8"/>
  <c r="P27" i="8"/>
  <c r="F27" i="8"/>
  <c r="G27" i="8"/>
  <c r="I27" i="8"/>
  <c r="M27" i="8"/>
  <c r="AG6" i="8"/>
  <c r="O3" i="8"/>
  <c r="AE8" i="8"/>
  <c r="AD9" i="8"/>
  <c r="O5" i="8"/>
  <c r="O27" i="8"/>
  <c r="N27" i="8"/>
  <c r="L27" i="8"/>
  <c r="K27" i="8"/>
  <c r="H27" i="8"/>
  <c r="D27" i="8"/>
  <c r="C27" i="8"/>
  <c r="A27" i="8"/>
  <c r="AF6" i="8"/>
  <c r="AE6" i="8"/>
  <c r="AD6" i="8"/>
  <c r="AG3" i="8"/>
  <c r="AF3" i="8"/>
  <c r="E40" i="7"/>
  <c r="R32" i="7"/>
  <c r="D32" i="7"/>
  <c r="B32" i="7"/>
  <c r="R31" i="7"/>
  <c r="D31" i="7"/>
  <c r="B31" i="7"/>
  <c r="R30" i="7"/>
  <c r="D30" i="7"/>
  <c r="B30" i="7"/>
  <c r="R29" i="7"/>
  <c r="D29" i="7"/>
  <c r="B29" i="7"/>
  <c r="R28" i="7"/>
  <c r="D28" i="7"/>
  <c r="B28" i="7"/>
  <c r="R27" i="7"/>
  <c r="D27" i="7"/>
  <c r="B27" i="7"/>
  <c r="S26" i="7"/>
  <c r="D26" i="7"/>
  <c r="B26" i="7"/>
  <c r="S25" i="7"/>
  <c r="D25" i="7"/>
  <c r="B25" i="7"/>
  <c r="S24" i="7"/>
  <c r="M6" i="7"/>
  <c r="M2" i="7"/>
  <c r="R2" i="7"/>
  <c r="M10" i="7"/>
  <c r="M16" i="7"/>
  <c r="M14" i="7"/>
  <c r="M12" i="7"/>
  <c r="N7" i="7"/>
  <c r="M24" i="7"/>
  <c r="D24" i="7"/>
  <c r="B24" i="7"/>
  <c r="S23" i="7"/>
  <c r="D23" i="7"/>
  <c r="B23" i="7"/>
  <c r="S22" i="7"/>
  <c r="D22" i="7"/>
  <c r="B22" i="7"/>
  <c r="S21" i="7"/>
  <c r="D21" i="7"/>
  <c r="B21" i="7"/>
  <c r="S20" i="7"/>
  <c r="D20" i="7"/>
  <c r="B20" i="7"/>
  <c r="S19" i="7"/>
  <c r="D19" i="7"/>
  <c r="B19" i="7"/>
  <c r="S18" i="7"/>
  <c r="D18" i="7"/>
  <c r="B18" i="7"/>
  <c r="S17" i="7"/>
  <c r="D17" i="7"/>
  <c r="B17" i="7"/>
  <c r="S16" i="7"/>
  <c r="D16" i="7"/>
  <c r="B16" i="7"/>
  <c r="S15" i="7"/>
  <c r="D15" i="7"/>
  <c r="B15" i="7"/>
  <c r="S14" i="7"/>
  <c r="D14" i="7"/>
  <c r="B14" i="7"/>
  <c r="S13" i="7"/>
  <c r="D13" i="7"/>
  <c r="B13" i="7"/>
  <c r="S12" i="7"/>
  <c r="D12" i="7"/>
  <c r="B12" i="7"/>
  <c r="S11" i="7"/>
  <c r="D11" i="7"/>
  <c r="B11" i="7"/>
  <c r="S10" i="7"/>
  <c r="D10" i="7"/>
  <c r="B10" i="7"/>
  <c r="S9" i="7"/>
  <c r="N9" i="7"/>
  <c r="D9" i="7"/>
  <c r="B9" i="7"/>
  <c r="S8" i="7"/>
  <c r="D8" i="7"/>
  <c r="B8" i="7"/>
  <c r="S7" i="7"/>
  <c r="D7" i="7"/>
  <c r="B7" i="7"/>
  <c r="S6" i="7"/>
  <c r="D6" i="7"/>
  <c r="B6" i="7"/>
  <c r="S5" i="7"/>
  <c r="D5" i="7"/>
  <c r="B5" i="7"/>
  <c r="S4" i="7"/>
  <c r="D4" i="7"/>
  <c r="B4" i="7"/>
  <c r="S3" i="7"/>
  <c r="D3" i="7"/>
  <c r="B3" i="7"/>
  <c r="S2" i="7"/>
  <c r="D2" i="7"/>
  <c r="B2" i="7"/>
  <c r="AC27" i="6"/>
  <c r="AA27" i="6"/>
  <c r="Y27" i="6"/>
  <c r="W27" i="6"/>
  <c r="U27" i="6"/>
  <c r="S27" i="6"/>
  <c r="Q27" i="6"/>
  <c r="L27" i="6"/>
  <c r="C27" i="6"/>
  <c r="AF6" i="6"/>
  <c r="P3" i="6"/>
  <c r="P27" i="6"/>
  <c r="F27" i="6"/>
  <c r="G27" i="6"/>
  <c r="I27" i="6"/>
  <c r="M27" i="6"/>
  <c r="AG6" i="6"/>
  <c r="O3" i="6"/>
  <c r="AE8" i="6"/>
  <c r="AD9" i="6"/>
  <c r="O5" i="6"/>
  <c r="O27" i="6"/>
  <c r="N27" i="6"/>
  <c r="K27" i="6"/>
  <c r="H27" i="6"/>
  <c r="D27" i="6"/>
  <c r="A27" i="6"/>
  <c r="AE6" i="6"/>
  <c r="AD6" i="6"/>
  <c r="AG3" i="6"/>
  <c r="AF3" i="6"/>
  <c r="B40" i="5"/>
  <c r="Q32" i="5"/>
  <c r="B32" i="5"/>
  <c r="Q31" i="5"/>
  <c r="B31" i="5"/>
  <c r="Q30" i="5"/>
  <c r="B30" i="5"/>
  <c r="Q29" i="5"/>
  <c r="B29" i="5"/>
  <c r="Q28" i="5"/>
  <c r="B28" i="5"/>
  <c r="Q27" i="5"/>
  <c r="B27" i="5"/>
  <c r="Q26" i="5"/>
  <c r="B26" i="5"/>
  <c r="Q25" i="5"/>
  <c r="B25" i="5"/>
  <c r="Q24" i="5"/>
  <c r="K4" i="5"/>
  <c r="K6" i="5"/>
  <c r="K2" i="5"/>
  <c r="P2" i="5"/>
  <c r="K10" i="5"/>
  <c r="K16" i="5"/>
  <c r="K14" i="5"/>
  <c r="K12" i="5"/>
  <c r="L7" i="5"/>
  <c r="K24" i="5"/>
  <c r="B24" i="5"/>
  <c r="Q23" i="5"/>
  <c r="B23" i="5"/>
  <c r="Q22" i="5"/>
  <c r="B22" i="5"/>
  <c r="Q21" i="5"/>
  <c r="B21" i="5"/>
  <c r="Q20" i="5"/>
  <c r="B20" i="5"/>
  <c r="Q19" i="5"/>
  <c r="B19" i="5"/>
  <c r="Q18" i="5"/>
  <c r="B18" i="5"/>
  <c r="Q17" i="5"/>
  <c r="B17" i="5"/>
  <c r="Q16" i="5"/>
  <c r="B16" i="5"/>
  <c r="Q15" i="5"/>
  <c r="B15" i="5"/>
  <c r="Q14" i="5"/>
  <c r="B14" i="5"/>
  <c r="Q13" i="5"/>
  <c r="B13" i="5"/>
  <c r="Q12" i="5"/>
  <c r="B12" i="5"/>
  <c r="Q11" i="5"/>
  <c r="B11" i="5"/>
  <c r="Q10" i="5"/>
  <c r="B10" i="5"/>
  <c r="Q9" i="5"/>
  <c r="L9" i="5"/>
  <c r="B9" i="5"/>
  <c r="Q8" i="5"/>
  <c r="B8" i="5"/>
  <c r="Q7" i="5"/>
  <c r="B7" i="5"/>
  <c r="Q6" i="5"/>
  <c r="B6" i="5"/>
  <c r="Q5" i="5"/>
  <c r="B5" i="5"/>
  <c r="Q4" i="5"/>
  <c r="B4" i="5"/>
  <c r="Q3" i="5"/>
  <c r="B3" i="5"/>
  <c r="Q2" i="5"/>
  <c r="B2" i="5"/>
  <c r="AC27" i="4"/>
  <c r="AA27" i="4"/>
  <c r="Y27" i="4"/>
  <c r="W27" i="4"/>
  <c r="U27" i="4"/>
  <c r="S27" i="4"/>
  <c r="Q27" i="4"/>
  <c r="P27" i="4"/>
  <c r="F27" i="4"/>
  <c r="G27" i="4"/>
  <c r="I27" i="4"/>
  <c r="M27" i="4"/>
  <c r="AG6" i="4"/>
  <c r="O3" i="4"/>
  <c r="AE8" i="4"/>
  <c r="AD9" i="4"/>
  <c r="O5" i="4"/>
  <c r="O27" i="4"/>
  <c r="N27" i="4"/>
  <c r="L27" i="4"/>
  <c r="K27" i="4"/>
  <c r="H27" i="4"/>
  <c r="D27" i="4"/>
  <c r="C27" i="4"/>
  <c r="A27" i="4"/>
  <c r="AF6" i="4"/>
  <c r="AE6" i="4"/>
  <c r="AD6" i="4"/>
  <c r="AG3" i="4"/>
  <c r="AF3" i="4"/>
  <c r="AA27" i="2"/>
  <c r="Y27" i="2"/>
  <c r="W27" i="2"/>
  <c r="U27" i="2"/>
  <c r="S27" i="2"/>
  <c r="Q27" i="2"/>
  <c r="P27" i="2"/>
  <c r="G27" i="2"/>
  <c r="I27" i="2"/>
  <c r="E27" i="2"/>
  <c r="AE6" i="2"/>
  <c r="O3" i="2"/>
  <c r="AC8" i="2"/>
  <c r="AB9" i="2"/>
  <c r="O5" i="2"/>
  <c r="O27" i="2"/>
  <c r="L27" i="2"/>
  <c r="K27" i="2"/>
  <c r="H27" i="2"/>
  <c r="F27" i="2"/>
  <c r="D27" i="2"/>
  <c r="C27" i="2"/>
  <c r="A27" i="2"/>
  <c r="N25" i="2"/>
  <c r="AD6" i="2"/>
  <c r="AC6" i="2"/>
  <c r="AB6" i="2"/>
  <c r="AE3" i="2"/>
  <c r="AD3" i="2"/>
  <c r="N42" i="45"/>
  <c r="O4" i="53"/>
  <c r="O2" i="53"/>
  <c r="O10" i="53"/>
  <c r="O12" i="53"/>
  <c r="O24" i="53"/>
  <c r="P12" i="58"/>
  <c r="O12" i="58"/>
  <c r="Y51" i="93"/>
  <c r="Y48" i="93"/>
  <c r="Y45" i="93"/>
  <c r="O45" i="93"/>
  <c r="O12" i="92"/>
  <c r="AK3" i="93"/>
  <c r="AK39" i="125"/>
  <c r="AJ39" i="125"/>
  <c r="AI39" i="125"/>
  <c r="AI41" i="125"/>
  <c r="U16" i="143" l="1"/>
  <c r="U17" i="143" s="1"/>
  <c r="U18" i="143" s="1"/>
  <c r="S24" i="143" s="1"/>
  <c r="O41" i="143"/>
  <c r="O5" i="143" s="1"/>
  <c r="O3" i="143" s="1"/>
  <c r="O11" i="143" s="1"/>
  <c r="O13" i="143" s="1"/>
  <c r="R15" i="143"/>
  <c r="R17" i="143" s="1"/>
  <c r="Q18" i="143" s="1"/>
  <c r="Q24" i="143" s="1"/>
  <c r="U16" i="142"/>
  <c r="U17" i="142" s="1"/>
  <c r="U18" i="142" s="1"/>
  <c r="S24" i="142" s="1"/>
  <c r="R16" i="142"/>
  <c r="R17" i="142" s="1"/>
  <c r="Q18" i="142" s="1"/>
  <c r="Q24" i="142" s="1"/>
  <c r="P13" i="142"/>
  <c r="O25" i="142" s="1"/>
  <c r="AJ6" i="141"/>
  <c r="P3" i="141"/>
  <c r="AJ3" i="141"/>
  <c r="AK6" i="141"/>
  <c r="AK3" i="141" s="1"/>
  <c r="O41" i="140"/>
  <c r="O5" i="140" s="1"/>
  <c r="O3" i="140" s="1"/>
  <c r="O11" i="140" s="1"/>
  <c r="O13" i="140" s="1"/>
  <c r="R15" i="140"/>
  <c r="R17" i="140" s="1"/>
  <c r="Q18" i="140" s="1"/>
  <c r="Q24" i="140" s="1"/>
  <c r="U16" i="140"/>
  <c r="U17" i="140" s="1"/>
  <c r="U18" i="140" s="1"/>
  <c r="S24" i="140" s="1"/>
  <c r="U16" i="139"/>
  <c r="U17" i="139" s="1"/>
  <c r="U18" i="139" s="1"/>
  <c r="S24" i="139" s="1"/>
  <c r="O41" i="139"/>
  <c r="O5" i="139" s="1"/>
  <c r="O3" i="139" s="1"/>
  <c r="O11" i="139" s="1"/>
  <c r="O13" i="139" s="1"/>
  <c r="R15" i="139"/>
  <c r="R17" i="139" s="1"/>
  <c r="Q18" i="139" s="1"/>
  <c r="Q24" i="139" s="1"/>
  <c r="Q13" i="113"/>
  <c r="D6" i="115"/>
  <c r="O3" i="141" l="1"/>
  <c r="O44" i="141" s="1"/>
  <c r="O46" i="14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tc={59ABD6A5-280C-724A-9003-16A8DD6ABCB0}</author>
    <author>tc={E186AE0C-4086-3D43-9D3D-73BF4E8C2585}</author>
    <author>tc={28689E3F-7BC7-FB46-92F9-BB9C267F9AF1}</author>
  </authors>
  <commentList>
    <comment ref="R5" authorId="0" shapeId="0" xr:uid="{59ABD6A5-280C-724A-9003-16A8DD6ABCB0}">
      <text>
        <t>[Komentář ve vlákně]
Vaše verze aplikace Excel vám umožňuje číst tento komentář ve vlákně, ale jakékoli jeho úpravy se odeberou, pokud se soubor otevře v novější verzi aplikace Excel. Další informace: https://go.microsoft.com/fwlink/?linkid=870924
Komentář:
    Oběd, Bageta, Tabák</t>
      </text>
    </comment>
    <comment ref="R6" authorId="1" shapeId="0" xr:uid="{E186AE0C-4086-3D43-9D3D-73BF4E8C2585}">
      <text>
        <t xml:space="preserve">[Komentář ve vlákně]
Vaše verze aplikace Excel vám umožňuje číst tento komentář ve vlákně, ale jakékoli jeho úpravy se odeberou, pokud se soubor otevře v novější verzi aplikace Excel. Další informace: https://go.microsoft.com/fwlink/?linkid=870924
Komentář:
    17.11.2023
</t>
      </text>
    </comment>
    <comment ref="R7" authorId="2" shapeId="0" xr:uid="{28689E3F-7BC7-FB46-92F9-BB9C267F9AF1}">
      <text>
        <t xml:space="preserve">[Komentář ve vlákně]
Vaše verze aplikace Excel vám umožňuje číst tento komentář ve vlákně, ale jakékoli jeho úpravy se odeberou, pokud se soubor otevře v novější verzi aplikace Excel. Další informace: https://go.microsoft.com/fwlink/?linkid=870924
Komentář:
    Cestou od Kuby 17.11.2023
</t>
      </text>
    </comment>
  </commentList>
</comments>
</file>

<file path=xl/sharedStrings.xml><?xml version="1.0" encoding="utf-8"?>
<sst xmlns="http://schemas.openxmlformats.org/spreadsheetml/2006/main" count="8597" uniqueCount="735">
  <si>
    <t xml:space="preserve"> DATUM</t>
  </si>
  <si>
    <t>DEN</t>
  </si>
  <si>
    <t>HODINY</t>
  </si>
  <si>
    <t>PR.DOBA</t>
  </si>
  <si>
    <t>MĚSTO</t>
  </si>
  <si>
    <t>FIRMA</t>
  </si>
  <si>
    <t>STÁT</t>
  </si>
  <si>
    <t>SUPERVISOR</t>
  </si>
  <si>
    <t>AUTO</t>
  </si>
  <si>
    <t>CELKEM HODIN</t>
  </si>
  <si>
    <t>POSLÁNO NA ÚČET</t>
  </si>
  <si>
    <t xml:space="preserve">ÚČET </t>
  </si>
  <si>
    <t>MĚSÍC</t>
  </si>
  <si>
    <t>DATUM</t>
  </si>
  <si>
    <t>Mrazák</t>
  </si>
  <si>
    <t>Stow</t>
  </si>
  <si>
    <t>Vivaro</t>
  </si>
  <si>
    <t>Aneta</t>
  </si>
  <si>
    <t>07:00-18:00</t>
  </si>
  <si>
    <t>Normal</t>
  </si>
  <si>
    <t>Od pracované dny (15)</t>
  </si>
  <si>
    <t>xxxxx</t>
  </si>
  <si>
    <t>Volné dny (14)</t>
  </si>
  <si>
    <t>Celkem Kč/h</t>
  </si>
  <si>
    <t>Výplata</t>
  </si>
  <si>
    <t>07:00-16:00</t>
  </si>
  <si>
    <t>Zálohy Kč</t>
  </si>
  <si>
    <t>Přejezd</t>
  </si>
  <si>
    <t>Daniel</t>
  </si>
  <si>
    <t>Zálohy €</t>
  </si>
  <si>
    <t>08:00-18:00</t>
  </si>
  <si>
    <t>Řízení</t>
  </si>
  <si>
    <t>07:00-15:00</t>
  </si>
  <si>
    <t>Ostatni +</t>
  </si>
  <si>
    <t>Ostatní -</t>
  </si>
  <si>
    <t>Zbývá Kč</t>
  </si>
  <si>
    <t>Převádí se ☆</t>
  </si>
  <si>
    <t xml:space="preserve">              CZE                          Nafta                 EURO</t>
  </si>
  <si>
    <t>Peage</t>
  </si>
  <si>
    <t>Ubytování</t>
  </si>
  <si>
    <t>Ostatní</t>
  </si>
  <si>
    <t>Čáp</t>
  </si>
  <si>
    <t xml:space="preserve">Zálohy </t>
  </si>
  <si>
    <t>Bankomat</t>
  </si>
  <si>
    <t>Hotovost u sebe</t>
  </si>
  <si>
    <t xml:space="preserve">Celkový výdaj </t>
  </si>
  <si>
    <t>Kartou</t>
  </si>
  <si>
    <t>Datum</t>
  </si>
  <si>
    <t>Hotově</t>
  </si>
  <si>
    <t xml:space="preserve">Hotově </t>
  </si>
  <si>
    <t>CZE</t>
  </si>
  <si>
    <t>POPIS</t>
  </si>
  <si>
    <t>EURO</t>
  </si>
  <si>
    <t xml:space="preserve">EURO </t>
  </si>
  <si>
    <t>Max</t>
  </si>
  <si>
    <t>Zoulič</t>
  </si>
  <si>
    <t>Cíba</t>
  </si>
  <si>
    <t xml:space="preserve">Jméno </t>
  </si>
  <si>
    <t>topeni</t>
  </si>
  <si>
    <t xml:space="preserve">Letiště  </t>
  </si>
  <si>
    <t>Kata</t>
  </si>
  <si>
    <t>Monese</t>
  </si>
  <si>
    <t>Libry</t>
  </si>
  <si>
    <t>Placeno kartou</t>
  </si>
  <si>
    <t xml:space="preserve">Placeno hotově </t>
  </si>
  <si>
    <t>Libra</t>
  </si>
  <si>
    <t>Monese (+)</t>
  </si>
  <si>
    <t>Monese (-)</t>
  </si>
  <si>
    <t>Celkem Kč</t>
  </si>
  <si>
    <t>Celkem €</t>
  </si>
  <si>
    <t>Kč</t>
  </si>
  <si>
    <t>08:00-19:00</t>
  </si>
  <si>
    <t>Benimodo</t>
  </si>
  <si>
    <t>Ardo</t>
  </si>
  <si>
    <t>Španělsko</t>
  </si>
  <si>
    <t>07:00-19:00</t>
  </si>
  <si>
    <t>Epe</t>
  </si>
  <si>
    <t>Remkes</t>
  </si>
  <si>
    <t>Holandsko</t>
  </si>
  <si>
    <t>07:00-19:30</t>
  </si>
  <si>
    <t>Odjezd</t>
  </si>
  <si>
    <t xml:space="preserve">Příjezd </t>
  </si>
  <si>
    <t>Km</t>
  </si>
  <si>
    <t xml:space="preserve">Celkem kilometrů </t>
  </si>
  <si>
    <t>Lukáš J</t>
  </si>
  <si>
    <t>Jaroslav B</t>
  </si>
  <si>
    <t xml:space="preserve">H-4XZásuvka,4XZástrčka </t>
  </si>
  <si>
    <t>H-2xsoket 13, prach, rukavice</t>
  </si>
  <si>
    <t>H-2xzatloukadlo</t>
  </si>
  <si>
    <t>H-2xM.kurta,1xV.kurta</t>
  </si>
  <si>
    <t xml:space="preserve">K-Svorky,m.vodováha </t>
  </si>
  <si>
    <t>Martin</t>
  </si>
  <si>
    <t>K-4xV.kolečko</t>
  </si>
  <si>
    <t>K-4xM.kolečko</t>
  </si>
  <si>
    <t>K-Zavitnice,podložky, matky</t>
  </si>
  <si>
    <t>K-4XBrusny kot, 2xkurta, 1xpalice</t>
  </si>
  <si>
    <t>K-Jídlo místo hotelu</t>
  </si>
  <si>
    <t>H-3xdisk230mm,5xdisk 125mm</t>
  </si>
  <si>
    <t>H-3xdisk230mm,och.brýle</t>
  </si>
  <si>
    <t>H-2xSprej,2xrukavice</t>
  </si>
  <si>
    <t>H-2xhelma</t>
  </si>
  <si>
    <t>H-10xdisk125,10xdisk125mm</t>
  </si>
  <si>
    <t xml:space="preserve">   C   e   l   k   e   m   </t>
  </si>
  <si>
    <t>Celkem</t>
  </si>
  <si>
    <t xml:space="preserve">  C  e  l  k  e  m  </t>
  </si>
  <si>
    <t>unor</t>
  </si>
  <si>
    <t>Výplata Únor</t>
  </si>
  <si>
    <t>Záloha Březen</t>
  </si>
  <si>
    <t>Výplata Březen</t>
  </si>
  <si>
    <t>Celkem přišlo v Březnu</t>
  </si>
  <si>
    <t>10:00-18:00</t>
  </si>
  <si>
    <t>Stef</t>
  </si>
  <si>
    <t>Francie</t>
  </si>
  <si>
    <t>Alix</t>
  </si>
  <si>
    <t>07:00-13:00</t>
  </si>
  <si>
    <t>07:00-14:00</t>
  </si>
  <si>
    <t>(Daniel)</t>
  </si>
  <si>
    <t>Myroslav</t>
  </si>
  <si>
    <t>Auto</t>
  </si>
  <si>
    <t>Z minula</t>
  </si>
  <si>
    <t>brnkacka</t>
  </si>
  <si>
    <t>zarovka</t>
  </si>
  <si>
    <t>let parko</t>
  </si>
  <si>
    <t>Mira</t>
  </si>
  <si>
    <t>lepidlo</t>
  </si>
  <si>
    <t xml:space="preserve">lepidlo,kotouče </t>
  </si>
  <si>
    <t xml:space="preserve">březen </t>
  </si>
  <si>
    <t>HOD</t>
  </si>
  <si>
    <t>CEL</t>
  </si>
  <si>
    <t>OSOB</t>
  </si>
  <si>
    <t>Záloha Duben</t>
  </si>
  <si>
    <t>Výplata Duben</t>
  </si>
  <si>
    <t>Celkem přišlo v Dubnu</t>
  </si>
  <si>
    <t>7:00-12:00</t>
  </si>
  <si>
    <t>Záloha Květen</t>
  </si>
  <si>
    <t>Výplata Květen</t>
  </si>
  <si>
    <t>Celkem přišlo v Květnu</t>
  </si>
  <si>
    <t>11:00-18:00</t>
  </si>
  <si>
    <t>Koleje</t>
  </si>
  <si>
    <t>Belgie</t>
  </si>
  <si>
    <t>Willy</t>
  </si>
  <si>
    <t>08:00-14:30</t>
  </si>
  <si>
    <t>22m</t>
  </si>
  <si>
    <t>Rosťa</t>
  </si>
  <si>
    <t>-----</t>
  </si>
  <si>
    <t>Převádí se na 06</t>
  </si>
  <si>
    <t>Převedeno z 04</t>
  </si>
  <si>
    <t>07:00-12:00</t>
  </si>
  <si>
    <t>Jambo</t>
  </si>
  <si>
    <t>Hynek</t>
  </si>
  <si>
    <t>Jmeno</t>
  </si>
  <si>
    <t>Zamek</t>
  </si>
  <si>
    <t>koleje</t>
  </si>
  <si>
    <t>bity</t>
  </si>
  <si>
    <t>Kachna</t>
  </si>
  <si>
    <t>Výplatní páska</t>
  </si>
  <si>
    <t>Svátek</t>
  </si>
  <si>
    <t>12:00-17:00</t>
  </si>
  <si>
    <t>Záloha Červen</t>
  </si>
  <si>
    <t>06:00-16:30</t>
  </si>
  <si>
    <t>Vyplata Červen</t>
  </si>
  <si>
    <t>06:00-16:00</t>
  </si>
  <si>
    <t>Celkem přišlo v Červnu</t>
  </si>
  <si>
    <t>Dominik</t>
  </si>
  <si>
    <t>Poplatky</t>
  </si>
  <si>
    <t>Převádí se na 07</t>
  </si>
  <si>
    <t>Převedeno z 05</t>
  </si>
  <si>
    <t>09:30-12:30</t>
  </si>
  <si>
    <t>Paříž</t>
  </si>
  <si>
    <t>9:30-20:00</t>
  </si>
  <si>
    <t>Route de Paris ZA de l'Orme, 95270 Viarmes, Francie</t>
  </si>
  <si>
    <t>Arcus Inox</t>
  </si>
  <si>
    <t>Alix, Gapa</t>
  </si>
  <si>
    <t>Výplata Červen</t>
  </si>
  <si>
    <t>7:30-19:00</t>
  </si>
  <si>
    <t>Záloha Červenec</t>
  </si>
  <si>
    <t>10:00-23:00</t>
  </si>
  <si>
    <t>09:00-18:00</t>
  </si>
  <si>
    <t>Výplata Červenec</t>
  </si>
  <si>
    <t>,-----,</t>
  </si>
  <si>
    <t>07:30-19:00</t>
  </si>
  <si>
    <t>7:30-18:00</t>
  </si>
  <si>
    <t>8:00-17:00</t>
  </si>
  <si>
    <t>09:00-22:30</t>
  </si>
  <si>
    <t>Quimper</t>
  </si>
  <si>
    <t xml:space="preserve">Svátek </t>
  </si>
  <si>
    <t>07:30-19:30</t>
  </si>
  <si>
    <t>07:30-18:30</t>
  </si>
  <si>
    <t>08:00-18:30</t>
  </si>
  <si>
    <t>07:30-18:00</t>
  </si>
  <si>
    <t>08:30-22:30</t>
  </si>
  <si>
    <t>07:30-16:00</t>
  </si>
  <si>
    <t>Volno</t>
  </si>
  <si>
    <t>Převádí se na 08</t>
  </si>
  <si>
    <t>Převedeno z 06</t>
  </si>
  <si>
    <t>14:00-17:30</t>
  </si>
  <si>
    <t>Ussac</t>
  </si>
  <si>
    <t>René Madrias Transport</t>
  </si>
  <si>
    <t>08:00-20:00</t>
  </si>
  <si>
    <t>8:00-19:00</t>
  </si>
  <si>
    <t>08:00-20:30</t>
  </si>
  <si>
    <t xml:space="preserve">párty </t>
  </si>
  <si>
    <t>Žarovka H4</t>
  </si>
  <si>
    <t>vrtak 15,bit</t>
  </si>
  <si>
    <t xml:space="preserve">Plány </t>
  </si>
  <si>
    <t xml:space="preserve">Snídaně </t>
  </si>
  <si>
    <t>benzinka</t>
  </si>
  <si>
    <t>karta</t>
  </si>
  <si>
    <t>hotove</t>
  </si>
  <si>
    <t>Hlášeno</t>
  </si>
  <si>
    <t>Záloha xxx</t>
  </si>
  <si>
    <t>ČR</t>
  </si>
  <si>
    <t>Ivan</t>
  </si>
  <si>
    <t>Br.kotouč,vrtáky</t>
  </si>
  <si>
    <t>Párty-15.8</t>
  </si>
  <si>
    <t>kabely</t>
  </si>
  <si>
    <t>zkousecka,pojistky</t>
  </si>
  <si>
    <t>imbus 6,vrtaky 1x</t>
  </si>
  <si>
    <t>vrtaky 2x</t>
  </si>
  <si>
    <t>vrtaky 10x</t>
  </si>
  <si>
    <t>vrtaky 3x</t>
  </si>
  <si>
    <t>vrtaky 8x</t>
  </si>
  <si>
    <t>party</t>
  </si>
  <si>
    <t>hotově</t>
  </si>
  <si>
    <t>kartou</t>
  </si>
  <si>
    <t>xx.09.2020</t>
  </si>
  <si>
    <t>Výplata před j.</t>
  </si>
  <si>
    <t>xx.08.2020</t>
  </si>
  <si>
    <t>Záloha jm</t>
  </si>
  <si>
    <t>Celkem přišlo v jm</t>
  </si>
  <si>
    <t>=ČervenecHodiny!N26</t>
  </si>
  <si>
    <t xml:space="preserve">Mrazák </t>
  </si>
  <si>
    <t>Zůstatek</t>
  </si>
  <si>
    <t>Období</t>
  </si>
  <si>
    <t>Dny</t>
  </si>
  <si>
    <t>Hodiny</t>
  </si>
  <si>
    <t>Peníze</t>
  </si>
  <si>
    <t>Akce</t>
  </si>
  <si>
    <t>Príjezd</t>
  </si>
  <si>
    <t>Počet</t>
  </si>
  <si>
    <t>Pr</t>
  </si>
  <si>
    <t>V</t>
  </si>
  <si>
    <t>P</t>
  </si>
  <si>
    <t>€  Zálohy  Kč</t>
  </si>
  <si>
    <t>Účet</t>
  </si>
  <si>
    <t>Jiné</t>
  </si>
  <si>
    <t>Pokuty</t>
  </si>
  <si>
    <t>Vybráno</t>
  </si>
  <si>
    <t>Vyděláno</t>
  </si>
  <si>
    <t>Faktury</t>
  </si>
  <si>
    <t>ucet</t>
  </si>
  <si>
    <t>eura</t>
  </si>
  <si>
    <t>normal</t>
  </si>
  <si>
    <t>mrazak</t>
  </si>
  <si>
    <t>205.5</t>
  </si>
  <si>
    <t>pujcka</t>
  </si>
  <si>
    <t>-9429</t>
  </si>
  <si>
    <t>309.5</t>
  </si>
  <si>
    <t>-7441</t>
  </si>
  <si>
    <t>pokuty</t>
  </si>
  <si>
    <t xml:space="preserve">      C      E      L      K      E      M      </t>
  </si>
  <si>
    <t>&lt;-----     C       E       L       K       E       M     -----&gt;</t>
  </si>
  <si>
    <t>&lt;-----       C         E         L         K         E         M       -----&gt;</t>
  </si>
  <si>
    <t>Měsíc</t>
  </si>
  <si>
    <t xml:space="preserve">Měsíc </t>
  </si>
  <si>
    <t>FIRMA2</t>
  </si>
  <si>
    <t>Hotově 4</t>
  </si>
  <si>
    <t>Kartou5</t>
  </si>
  <si>
    <t>Hotově 6</t>
  </si>
  <si>
    <t>Datum7</t>
  </si>
  <si>
    <t>Kartou8</t>
  </si>
  <si>
    <t>Datum10</t>
  </si>
  <si>
    <t>Datum11</t>
  </si>
  <si>
    <t>Datum12</t>
  </si>
  <si>
    <t>Datum13</t>
  </si>
  <si>
    <t>Datum14</t>
  </si>
  <si>
    <t>CZE15</t>
  </si>
  <si>
    <t>DATUM16</t>
  </si>
  <si>
    <t>EURO17</t>
  </si>
  <si>
    <t>CZE2</t>
  </si>
  <si>
    <t>Kartouu</t>
  </si>
  <si>
    <t xml:space="preserve"> CZE                 Nafta                 EURO</t>
  </si>
  <si>
    <t>Datum.</t>
  </si>
  <si>
    <t xml:space="preserve">Převedeno z min měsíc </t>
  </si>
  <si>
    <t xml:space="preserve">Převádí se na příští měsíc </t>
  </si>
  <si>
    <t>DO</t>
  </si>
  <si>
    <t>OD</t>
  </si>
  <si>
    <t>STOW</t>
  </si>
  <si>
    <t>Vivaro dl</t>
  </si>
  <si>
    <t xml:space="preserve">mrazák </t>
  </si>
  <si>
    <t>Sodial</t>
  </si>
  <si>
    <t>odtahovka</t>
  </si>
  <si>
    <t>2020kc</t>
  </si>
  <si>
    <t>975kč</t>
  </si>
  <si>
    <t>Coca cola</t>
  </si>
  <si>
    <t>815km</t>
  </si>
  <si>
    <t>Coca Cola</t>
  </si>
  <si>
    <t>Danny</t>
  </si>
  <si>
    <t>250€ vybral</t>
  </si>
  <si>
    <t>Zoula</t>
  </si>
  <si>
    <t>MPH</t>
  </si>
  <si>
    <t xml:space="preserve">Německo </t>
  </si>
  <si>
    <t>Odtahovka</t>
  </si>
  <si>
    <t>Rain</t>
  </si>
  <si>
    <t>Tomáš Bogdan</t>
  </si>
  <si>
    <t>Milan</t>
  </si>
  <si>
    <t>stěrač</t>
  </si>
  <si>
    <t>Převádí se na příští měsíc</t>
  </si>
  <si>
    <t xml:space="preserve">Vivaro velký </t>
  </si>
  <si>
    <t>Výplata za Leden j.</t>
  </si>
  <si>
    <t>Výplata za Únor</t>
  </si>
  <si>
    <t>Výplata za Leden</t>
  </si>
  <si>
    <t>Výplata za Prosinec</t>
  </si>
  <si>
    <t>Výplata za Březen</t>
  </si>
  <si>
    <t xml:space="preserve">Výplata za Únor </t>
  </si>
  <si>
    <t>N</t>
  </si>
  <si>
    <t>M</t>
  </si>
  <si>
    <t>Obĕd</t>
  </si>
  <si>
    <t>DHL</t>
  </si>
  <si>
    <t>Bogdan</t>
  </si>
  <si>
    <t>Hovorka</t>
  </si>
  <si>
    <t>Varmus</t>
  </si>
  <si>
    <t>Volák</t>
  </si>
  <si>
    <t>Plos</t>
  </si>
  <si>
    <t>Datum1</t>
  </si>
  <si>
    <t>Lot</t>
  </si>
  <si>
    <t>Tobias</t>
  </si>
  <si>
    <t xml:space="preserve">Polák </t>
  </si>
  <si>
    <t>Výplata za Duben</t>
  </si>
  <si>
    <t>Datum,</t>
  </si>
  <si>
    <t>Datum..</t>
  </si>
  <si>
    <t>Datum...</t>
  </si>
  <si>
    <t>Datum2</t>
  </si>
  <si>
    <t>Datum3</t>
  </si>
  <si>
    <t>Zarovka</t>
  </si>
  <si>
    <t>Überlingen</t>
  </si>
  <si>
    <t>MTU</t>
  </si>
  <si>
    <t>Německo</t>
  </si>
  <si>
    <t>Alexandr</t>
  </si>
  <si>
    <t>Výplata za Květen</t>
  </si>
  <si>
    <t>XXX</t>
  </si>
  <si>
    <t>XXX2</t>
  </si>
  <si>
    <t>XXX3</t>
  </si>
  <si>
    <t>Prostoj</t>
  </si>
  <si>
    <t xml:space="preserve">Přejezd </t>
  </si>
  <si>
    <t>Roosendaal</t>
  </si>
  <si>
    <t>EDCR</t>
  </si>
  <si>
    <t>Montbartier</t>
  </si>
  <si>
    <t>SCi</t>
  </si>
  <si>
    <t>SCI</t>
  </si>
  <si>
    <t>DE-FR</t>
  </si>
  <si>
    <t>Timmi</t>
  </si>
  <si>
    <t>HSS</t>
  </si>
  <si>
    <t>5x Rukavice</t>
  </si>
  <si>
    <t>Květen</t>
  </si>
  <si>
    <t xml:space="preserve">Květen </t>
  </si>
  <si>
    <t xml:space="preserve">Český </t>
  </si>
  <si>
    <t xml:space="preserve">Zoulič </t>
  </si>
  <si>
    <t>Cigarety</t>
  </si>
  <si>
    <t>Monesa</t>
  </si>
  <si>
    <t>Celkem přišlo Duben</t>
  </si>
  <si>
    <t>Hrubá mzda</t>
  </si>
  <si>
    <t>Čmelík</t>
  </si>
  <si>
    <t>+++Převod+++</t>
  </si>
  <si>
    <t>---Poplatky---</t>
  </si>
  <si>
    <t>Převedeno z Březen</t>
  </si>
  <si>
    <t>Převádí se na Duben</t>
  </si>
  <si>
    <t xml:space="preserve">Převádí se na Květen </t>
  </si>
  <si>
    <t>Převedeno z Únor</t>
  </si>
  <si>
    <t>Převedeno z Duben</t>
  </si>
  <si>
    <t>Převádí se na Červen</t>
  </si>
  <si>
    <t xml:space="preserve">VÝPLATNÍ PÁSKA </t>
  </si>
  <si>
    <t xml:space="preserve">Převádí se na další měsíc </t>
  </si>
  <si>
    <t xml:space="preserve">Převedeno z Minulý měsíc </t>
  </si>
  <si>
    <t>Celkem přišlo Květen</t>
  </si>
  <si>
    <t>EURO,</t>
  </si>
  <si>
    <t>DATUM,,</t>
  </si>
  <si>
    <t>CZE,</t>
  </si>
  <si>
    <t>Datum,2</t>
  </si>
  <si>
    <t xml:space="preserve">Kartou </t>
  </si>
  <si>
    <t xml:space="preserve">Datum </t>
  </si>
  <si>
    <t xml:space="preserve">Hotově  </t>
  </si>
  <si>
    <t xml:space="preserve">Kartou  </t>
  </si>
  <si>
    <t xml:space="preserve">Hotově   </t>
  </si>
  <si>
    <t xml:space="preserve">Datum   </t>
  </si>
  <si>
    <t xml:space="preserve">Kartou   </t>
  </si>
  <si>
    <t xml:space="preserve">CZE </t>
  </si>
  <si>
    <t>BE-DE</t>
  </si>
  <si>
    <t>Týden 18-21</t>
  </si>
  <si>
    <t>Elektrikář</t>
  </si>
  <si>
    <t>???</t>
  </si>
  <si>
    <t>Miro</t>
  </si>
  <si>
    <t xml:space="preserve">český </t>
  </si>
  <si>
    <t>Nera</t>
  </si>
  <si>
    <t>tip</t>
  </si>
  <si>
    <t xml:space="preserve">Celkem </t>
  </si>
  <si>
    <t xml:space="preserve">Reuters </t>
  </si>
  <si>
    <t>testy,rousky</t>
  </si>
  <si>
    <t>z minula</t>
  </si>
  <si>
    <t xml:space="preserve">nákup </t>
  </si>
  <si>
    <t xml:space="preserve">cigarety </t>
  </si>
  <si>
    <t xml:space="preserve">Celkem přišlo v červen </t>
  </si>
  <si>
    <t xml:space="preserve">Výplata za Květen </t>
  </si>
  <si>
    <t xml:space="preserve">Výplata za Červen </t>
  </si>
  <si>
    <t xml:space="preserve">Výplata za červen </t>
  </si>
  <si>
    <t xml:space="preserve">Výplata za červenec </t>
  </si>
  <si>
    <t>Šimon</t>
  </si>
  <si>
    <t>Z.Kovařík</t>
  </si>
  <si>
    <t>Allendorf</t>
  </si>
  <si>
    <t>Viessmann</t>
  </si>
  <si>
    <t xml:space="preserve">vrtáky </t>
  </si>
  <si>
    <t>Celkem K</t>
  </si>
  <si>
    <t xml:space="preserve">Celkem přišlo v červenci </t>
  </si>
  <si>
    <t>M.Melicher</t>
  </si>
  <si>
    <t>Alendorf</t>
  </si>
  <si>
    <t>Trafik</t>
  </si>
  <si>
    <t>Červenec</t>
  </si>
  <si>
    <t xml:space="preserve">Srpen </t>
  </si>
  <si>
    <t xml:space="preserve">Výplata za Srpen </t>
  </si>
  <si>
    <t xml:space="preserve">Výplata za Červenec </t>
  </si>
  <si>
    <t xml:space="preserve">Převod </t>
  </si>
  <si>
    <t>jidlo</t>
  </si>
  <si>
    <t>Thomann</t>
  </si>
  <si>
    <t>Trafik 03</t>
  </si>
  <si>
    <t>Výplata za Srpen</t>
  </si>
  <si>
    <t>Výplata za Září</t>
  </si>
  <si>
    <t>Z.Kovarik</t>
  </si>
  <si>
    <t>zoulic</t>
  </si>
  <si>
    <t>Zoulic</t>
  </si>
  <si>
    <t>1500kc</t>
  </si>
  <si>
    <t>Výplata za Říjen</t>
  </si>
  <si>
    <t>Výplata za Listopad</t>
  </si>
  <si>
    <t>Žárovky 15.10.</t>
  </si>
  <si>
    <t>Pepa</t>
  </si>
  <si>
    <t>Jiří Čermák</t>
  </si>
  <si>
    <t xml:space="preserve">Saša </t>
  </si>
  <si>
    <t>Jiří Hubáček</t>
  </si>
  <si>
    <t>Listopad</t>
  </si>
  <si>
    <t>Testy</t>
  </si>
  <si>
    <t xml:space="preserve">Prosinec </t>
  </si>
  <si>
    <t xml:space="preserve">Listopad </t>
  </si>
  <si>
    <t xml:space="preserve"> Datum</t>
  </si>
  <si>
    <t xml:space="preserve">  Datum</t>
  </si>
  <si>
    <t xml:space="preserve"> Datum </t>
  </si>
  <si>
    <t xml:space="preserve"> Datum  </t>
  </si>
  <si>
    <t xml:space="preserve">  Datum  </t>
  </si>
  <si>
    <t xml:space="preserve">  Datum </t>
  </si>
  <si>
    <t xml:space="preserve">  Datum   </t>
  </si>
  <si>
    <t xml:space="preserve">   DATUM </t>
  </si>
  <si>
    <t>Zálohy  Listopad Prosinec 03.11.2021 - 20.12.2021</t>
  </si>
  <si>
    <t>Marquardt</t>
  </si>
  <si>
    <t>DE</t>
  </si>
  <si>
    <t>Amt Wachsenburg</t>
  </si>
  <si>
    <t>xx.01.2022</t>
  </si>
  <si>
    <t>celk3m -</t>
  </si>
  <si>
    <t>Celkem +</t>
  </si>
  <si>
    <t>ce-</t>
  </si>
  <si>
    <t>ce+</t>
  </si>
  <si>
    <t>Celkem tabulka</t>
  </si>
  <si>
    <t>V hodinach</t>
  </si>
  <si>
    <t xml:space="preserve">Převedeno na příště </t>
  </si>
  <si>
    <t>x</t>
  </si>
  <si>
    <t>Všechny  -</t>
  </si>
  <si>
    <t>Všechny  +</t>
  </si>
  <si>
    <t>Zálohy  Leden Únor 10.01.2022 - xx.xx.2022</t>
  </si>
  <si>
    <t>Martin Jirus</t>
  </si>
  <si>
    <t>Tomáš Becka</t>
  </si>
  <si>
    <t>Miskinc</t>
  </si>
  <si>
    <t>Milan Jámbor</t>
  </si>
  <si>
    <t>Tomáš Bečka</t>
  </si>
  <si>
    <t>xxx</t>
  </si>
  <si>
    <t>xx</t>
  </si>
  <si>
    <t>Rozprc K</t>
  </si>
  <si>
    <t>Rozprc H</t>
  </si>
  <si>
    <t>baterky H</t>
  </si>
  <si>
    <t>Itálie</t>
  </si>
  <si>
    <t>Tortona</t>
  </si>
  <si>
    <t>Únor</t>
  </si>
  <si>
    <t>Březen</t>
  </si>
  <si>
    <t>Od Milana</t>
  </si>
  <si>
    <t>Celkem přišlo v Únoru</t>
  </si>
  <si>
    <t>Katoen Natie</t>
  </si>
  <si>
    <t>Znamka Švýcarsko K</t>
  </si>
  <si>
    <t>Ondra</t>
  </si>
  <si>
    <t>Řeháček</t>
  </si>
  <si>
    <t>Beran</t>
  </si>
  <si>
    <t>Bečka</t>
  </si>
  <si>
    <t>Celkem přišlo v Březen</t>
  </si>
  <si>
    <t>Celkem přišlo v Duben</t>
  </si>
  <si>
    <t>Chrastina</t>
  </si>
  <si>
    <t>Jícha</t>
  </si>
  <si>
    <t>David Kazda</t>
  </si>
  <si>
    <t>Duben</t>
  </si>
  <si>
    <t>Láďa Novohradský</t>
  </si>
  <si>
    <t>Olda Václahovský</t>
  </si>
  <si>
    <t>Erik Maloň</t>
  </si>
  <si>
    <t>Saša</t>
  </si>
  <si>
    <t>Šimon Varmus</t>
  </si>
  <si>
    <t>Rozdvojka</t>
  </si>
  <si>
    <t>přechodka</t>
  </si>
  <si>
    <t>H fixy</t>
  </si>
  <si>
    <t>H kotouč</t>
  </si>
  <si>
    <t>Láďa Sivák</t>
  </si>
  <si>
    <t>Zálohy  Duben 04.04.2022 - 14.05.2022</t>
  </si>
  <si>
    <t>Zálohy  Květen 29.05.2022 -</t>
  </si>
  <si>
    <t>Červen</t>
  </si>
  <si>
    <t>Xxx</t>
  </si>
  <si>
    <t>Výplata za Červen</t>
  </si>
  <si>
    <t>xx.07.2022</t>
  </si>
  <si>
    <t>Volné dny ()</t>
  </si>
  <si>
    <t>Zaloha Březen</t>
  </si>
  <si>
    <t>Celkem přišlo v Prosinec</t>
  </si>
  <si>
    <t>Převod 42735kč</t>
  </si>
  <si>
    <t>Rozdíl</t>
  </si>
  <si>
    <t>Rozdil-vyp,zálohy</t>
  </si>
  <si>
    <t xml:space="preserve">Karta Zarovky H4 </t>
  </si>
  <si>
    <t xml:space="preserve">Karta Helmy </t>
  </si>
  <si>
    <t>Pavel Zoula</t>
  </si>
  <si>
    <t>Ondra Hlawatschke</t>
  </si>
  <si>
    <t>Aleš Jícha</t>
  </si>
  <si>
    <t>Alexandr Zajac</t>
  </si>
  <si>
    <t>Lukáš Chrastina</t>
  </si>
  <si>
    <t>Ladislav Novohradský</t>
  </si>
  <si>
    <t>Olda Vaclahovský</t>
  </si>
  <si>
    <t>Ladislav Sivák</t>
  </si>
  <si>
    <t>KVĚTEN</t>
  </si>
  <si>
    <t>CELKEM</t>
  </si>
  <si>
    <t>xx.08.2022</t>
  </si>
  <si>
    <t>Tadeáš Gruss</t>
  </si>
  <si>
    <t>Lukáš Lang</t>
  </si>
  <si>
    <t>H znamka 40</t>
  </si>
  <si>
    <t>Karta Servis</t>
  </si>
  <si>
    <t>H vrtak 15</t>
  </si>
  <si>
    <t>H kotouče</t>
  </si>
  <si>
    <t>Zálohy  Květen 29.05.2022 -25.05.2022</t>
  </si>
  <si>
    <t>Pavel Paul</t>
  </si>
  <si>
    <t>Pavel Vaculka</t>
  </si>
  <si>
    <t>Karel Havel</t>
  </si>
  <si>
    <t>Pavel Potůček</t>
  </si>
  <si>
    <t>Krištof Šplouchal</t>
  </si>
  <si>
    <t>Lukáš Langr</t>
  </si>
  <si>
    <t>Srpen</t>
  </si>
  <si>
    <t>Tomáš Ječný</t>
  </si>
  <si>
    <t>Tomáš Čadek</t>
  </si>
  <si>
    <t>Jan Šiman</t>
  </si>
  <si>
    <t>Sp+nic</t>
  </si>
  <si>
    <t>Ondřej Klimeš</t>
  </si>
  <si>
    <t>Vladimír Kvapil</t>
  </si>
  <si>
    <t>Září</t>
  </si>
  <si>
    <t>Odjezd ?</t>
  </si>
  <si>
    <t>Baterie H</t>
  </si>
  <si>
    <t>4</t>
  </si>
  <si>
    <t>7</t>
  </si>
  <si>
    <t>0</t>
  </si>
  <si>
    <t>Říjen</t>
  </si>
  <si>
    <t>Prosinec</t>
  </si>
  <si>
    <t>Kryštof Šplouchal</t>
  </si>
  <si>
    <t>Ondřej Pitka</t>
  </si>
  <si>
    <t>Štěpán</t>
  </si>
  <si>
    <t>Výplata za Červenec</t>
  </si>
  <si>
    <t>Záloha Září</t>
  </si>
  <si>
    <t>Maksim</t>
  </si>
  <si>
    <t>Týden</t>
  </si>
  <si>
    <t>Máma</t>
  </si>
  <si>
    <t>Záloha Říjen</t>
  </si>
  <si>
    <t>Pavel</t>
  </si>
  <si>
    <t>Zdeněk Kovařík</t>
  </si>
  <si>
    <t>Tomáš Ryšavý</t>
  </si>
  <si>
    <t>1</t>
  </si>
  <si>
    <t>2</t>
  </si>
  <si>
    <t>3</t>
  </si>
  <si>
    <t>5</t>
  </si>
  <si>
    <t>6</t>
  </si>
  <si>
    <t>Leden</t>
  </si>
  <si>
    <t>Mrazak</t>
  </si>
  <si>
    <t>Záloha Srpen</t>
  </si>
  <si>
    <t>24.11 karta</t>
  </si>
  <si>
    <t>25.11 karta</t>
  </si>
  <si>
    <t>28.11 karta</t>
  </si>
  <si>
    <t>29.11 hotove</t>
  </si>
  <si>
    <t xml:space="preserve">H-Kotouče, provázek </t>
  </si>
  <si>
    <t>Pradelna</t>
  </si>
  <si>
    <t>Zálohy  Leden 04.01. - Xx.xx</t>
  </si>
  <si>
    <t>Jakub Bláha</t>
  </si>
  <si>
    <t>Leoš  Kubát</t>
  </si>
  <si>
    <t xml:space="preserve">Ondřej Klimeš </t>
  </si>
  <si>
    <t>Mama</t>
  </si>
  <si>
    <t xml:space="preserve">Leden </t>
  </si>
  <si>
    <t xml:space="preserve">Únor </t>
  </si>
  <si>
    <t>19.01.23 Radar</t>
  </si>
  <si>
    <t>Pokuta huleni na pokoji</t>
  </si>
  <si>
    <t>H-Halogen ž.</t>
  </si>
  <si>
    <t>Baterky</t>
  </si>
  <si>
    <t>Hotovost u sebe 22.2</t>
  </si>
  <si>
    <t xml:space="preserve">Výplata za Březen </t>
  </si>
  <si>
    <t xml:space="preserve">Výplata za Duben </t>
  </si>
  <si>
    <t>xx.02.2023</t>
  </si>
  <si>
    <t>xx.03.2023</t>
  </si>
  <si>
    <t>xx.04.2023</t>
  </si>
  <si>
    <t>xx.05.2023</t>
  </si>
  <si>
    <t>Čistící prostředky</t>
  </si>
  <si>
    <t>Zálohy  18.03-7.05.2023</t>
  </si>
  <si>
    <t>Hulení na ubytku</t>
  </si>
  <si>
    <t>Zálohy  25.06-x.x.2023</t>
  </si>
  <si>
    <t xml:space="preserve">Jakub Bláha  </t>
  </si>
  <si>
    <t>0.1</t>
  </si>
  <si>
    <t>Amsterdam</t>
  </si>
  <si>
    <t xml:space="preserve">Účet </t>
  </si>
  <si>
    <t>Revolut</t>
  </si>
  <si>
    <t>30.06.</t>
  </si>
  <si>
    <t>03.07.</t>
  </si>
  <si>
    <t>04.07.</t>
  </si>
  <si>
    <t>05.07.</t>
  </si>
  <si>
    <t>06.07.</t>
  </si>
  <si>
    <t>07.07.</t>
  </si>
  <si>
    <t>08.07.</t>
  </si>
  <si>
    <t>09.07.</t>
  </si>
  <si>
    <t>10.07.</t>
  </si>
  <si>
    <t>11.07.</t>
  </si>
  <si>
    <t>12.07.</t>
  </si>
  <si>
    <t>13.07.</t>
  </si>
  <si>
    <t>14.07.</t>
  </si>
  <si>
    <t>17.07.</t>
  </si>
  <si>
    <t>18.07.</t>
  </si>
  <si>
    <t>19.07.</t>
  </si>
  <si>
    <t>20.07.</t>
  </si>
  <si>
    <t>21.07.</t>
  </si>
  <si>
    <t>22.07.</t>
  </si>
  <si>
    <t>23.07.</t>
  </si>
  <si>
    <t>24.07.</t>
  </si>
  <si>
    <t>26.07.</t>
  </si>
  <si>
    <t>01.07.</t>
  </si>
  <si>
    <t>27.07.</t>
  </si>
  <si>
    <t>29.06.</t>
  </si>
  <si>
    <t xml:space="preserve">CZK Červen </t>
  </si>
  <si>
    <t>Hotovost u sebe 26.07.</t>
  </si>
  <si>
    <t>Revolut (+)</t>
  </si>
  <si>
    <t>Revolut (-)</t>
  </si>
  <si>
    <t>Účet 23,678</t>
  </si>
  <si>
    <t>Účet  24,117</t>
  </si>
  <si>
    <t>Revolut Celkem</t>
  </si>
  <si>
    <t>Revolut Zůstatek</t>
  </si>
  <si>
    <t>Action</t>
  </si>
  <si>
    <t>T-mobile</t>
  </si>
  <si>
    <t>G</t>
  </si>
  <si>
    <t>poplatek</t>
  </si>
  <si>
    <t>g</t>
  </si>
  <si>
    <t>28.07.</t>
  </si>
  <si>
    <t>31.07.</t>
  </si>
  <si>
    <t>Cesta do ČR</t>
  </si>
  <si>
    <t>Material</t>
  </si>
  <si>
    <t>xx.06.2023</t>
  </si>
  <si>
    <t>xx.07.2023</t>
  </si>
  <si>
    <t>xx.08.2023</t>
  </si>
  <si>
    <t>xx.09.2023</t>
  </si>
  <si>
    <t>xx.10.2023</t>
  </si>
  <si>
    <t>01.08.</t>
  </si>
  <si>
    <t>02.08.</t>
  </si>
  <si>
    <t>03.08.</t>
  </si>
  <si>
    <t>04.08.</t>
  </si>
  <si>
    <t>TÝDEN</t>
  </si>
  <si>
    <t>31.</t>
  </si>
  <si>
    <t>26.</t>
  </si>
  <si>
    <t>27.</t>
  </si>
  <si>
    <t>28.</t>
  </si>
  <si>
    <t>29.</t>
  </si>
  <si>
    <t>30.</t>
  </si>
  <si>
    <t>ŽÁDOST</t>
  </si>
  <si>
    <t>Týd/Hod</t>
  </si>
  <si>
    <t xml:space="preserve"> </t>
  </si>
  <si>
    <t>Výplata Srpen</t>
  </si>
  <si>
    <t>52.</t>
  </si>
  <si>
    <t>32.</t>
  </si>
  <si>
    <t>33.</t>
  </si>
  <si>
    <t>34.</t>
  </si>
  <si>
    <t>35.</t>
  </si>
  <si>
    <t xml:space="preserve">Září </t>
  </si>
  <si>
    <t>,</t>
  </si>
  <si>
    <t>,Doma</t>
  </si>
  <si>
    <t>Kotvy SPA</t>
  </si>
  <si>
    <t>Vykruzovak</t>
  </si>
  <si>
    <t xml:space="preserve">krám </t>
  </si>
  <si>
    <t>nakup+4</t>
  </si>
  <si>
    <t>pizza+10</t>
  </si>
  <si>
    <t xml:space="preserve">materiál </t>
  </si>
  <si>
    <t>Vrtaky 6mm</t>
  </si>
  <si>
    <t>Elektrody</t>
  </si>
  <si>
    <t>Rukavice</t>
  </si>
  <si>
    <t>Částka €</t>
  </si>
  <si>
    <t>Částka Kč</t>
  </si>
  <si>
    <t>Poplatek €</t>
  </si>
  <si>
    <t>Poplatek Kč</t>
  </si>
  <si>
    <t>Hotovost</t>
  </si>
  <si>
    <t>Strženo Kč</t>
  </si>
  <si>
    <t>Coffeeshop</t>
  </si>
  <si>
    <t>extra</t>
  </si>
  <si>
    <t>19.09McD</t>
  </si>
  <si>
    <t xml:space="preserve">CZK Září </t>
  </si>
  <si>
    <t>Nytovacka</t>
  </si>
  <si>
    <t>Zálohy  28.08.2023-01.11.2023</t>
  </si>
  <si>
    <t>Jan Horčička</t>
  </si>
  <si>
    <t>DATUM2</t>
  </si>
  <si>
    <t>Směna CZK na EURA</t>
  </si>
  <si>
    <t>--CZK--</t>
  </si>
  <si>
    <t>++EURA++</t>
  </si>
  <si>
    <t>Zálohy  02.11.2023</t>
  </si>
  <si>
    <t>Kuba</t>
  </si>
  <si>
    <t>17.11.</t>
  </si>
  <si>
    <t>CZE Prosinec</t>
  </si>
  <si>
    <t>ČERVEN-ČERVENEC</t>
  </si>
  <si>
    <t>Materiál</t>
  </si>
  <si>
    <t>Lukáš Janík</t>
  </si>
  <si>
    <t>Patrik Michalička</t>
  </si>
  <si>
    <t>138.01</t>
  </si>
  <si>
    <t>H4</t>
  </si>
  <si>
    <t>vodováha</t>
  </si>
  <si>
    <t>5,6,7</t>
  </si>
  <si>
    <t xml:space="preserve">Kotouče </t>
  </si>
  <si>
    <t xml:space="preserve">Špunty </t>
  </si>
  <si>
    <t>Žárovka H4</t>
  </si>
  <si>
    <t>Platek na železo</t>
  </si>
  <si>
    <t>Honza</t>
  </si>
  <si>
    <t>30.01.2024 Honza</t>
  </si>
  <si>
    <t>Stromečky</t>
  </si>
  <si>
    <t>Pavel Dron</t>
  </si>
  <si>
    <t>Jiří Horčička</t>
  </si>
  <si>
    <t>2xM</t>
  </si>
  <si>
    <t>T</t>
  </si>
  <si>
    <t>K</t>
  </si>
  <si>
    <t>H</t>
  </si>
  <si>
    <t xml:space="preserve">od příletu </t>
  </si>
  <si>
    <t>Zálohy  17.07.2024</t>
  </si>
  <si>
    <t xml:space="preserve">Vylet k vodě </t>
  </si>
  <si>
    <t xml:space="preserve">V krámě </t>
  </si>
  <si>
    <t>3000kč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</si>
</sst>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0">
    <numFmt numFmtId="6" formatCode="#,##0\ &quot;Kč&quot;;[Red]\-#,##0\ &quot;Kč&quot;"/>
    <numFmt numFmtId="43" formatCode="_-* #,##0.00_-;\-* #,##0.00_-;_-* &quot;-&quot;??_-;_-@_-"/>
    <numFmt numFmtId="164" formatCode="dd/mm/yy"/>
    <numFmt numFmtId="165" formatCode="0.0"/>
    <numFmt numFmtId="166" formatCode="#0"/>
    <numFmt numFmtId="167" formatCode="#0.0"/>
    <numFmt numFmtId="168" formatCode="#,##0\ [$Kč-405]"/>
    <numFmt numFmtId="169" formatCode="#,##0\ \K\č"/>
    <numFmt numFmtId="170" formatCode="dd\.mm\.yyyy"/>
    <numFmt numFmtId="171" formatCode="#,##0\ &quot;Kč&quot;"/>
    <numFmt numFmtId="172" formatCode="#,##0.00\ [$€-1]"/>
    <numFmt numFmtId="173" formatCode="0\ \K\č"/>
    <numFmt numFmtId="174" formatCode="#0[$€-1]"/>
    <numFmt numFmtId="175" formatCode="[$£-809]#,##0.0"/>
    <numFmt numFmtId="176" formatCode="#,##0\ [$€-1]"/>
    <numFmt numFmtId="177" formatCode="0\ &quot;Kč&quot;"/>
    <numFmt numFmtId="178" formatCode="[$£-809]#,##0;[Red]\-[$£-809]#,##0"/>
    <numFmt numFmtId="179" formatCode="[$£-809]#,##0"/>
    <numFmt numFmtId="180" formatCode="dd\.mm\.yy"/>
    <numFmt numFmtId="181" formatCode="[$£-809]#,##0.00"/>
    <numFmt numFmtId="182" formatCode="#0.0[$€-1]"/>
    <numFmt numFmtId="183" formatCode="#,##0.0\ [$€-1]"/>
    <numFmt numFmtId="184" formatCode="#,##0_ ;\-#,##0\ "/>
    <numFmt numFmtId="185" formatCode="#,##0.0\ [$Kč-405]"/>
    <numFmt numFmtId="186" formatCode="0.00\ &quot;Kč&quot;"/>
    <numFmt numFmtId="187" formatCode="d/m"/>
    <numFmt numFmtId="188" formatCode="#,##0.00\ [$Kč-405]"/>
    <numFmt numFmtId="189" formatCode="#,##0\ [$Kč-405];[Red]\-#,##0\ [$Kč-405]"/>
    <numFmt numFmtId="190" formatCode="0;[Red]0"/>
    <numFmt numFmtId="191" formatCode="#,##0\ [$€-1];[Red]\-#,##0\ [$€-1]"/>
    <numFmt numFmtId="192" formatCode="_-* #,##0_-;\-* #,##0_-;_-* &quot;-&quot;??_-;_-@"/>
    <numFmt numFmtId="193" formatCode="dd/mm/yy;@"/>
    <numFmt numFmtId="194" formatCode="d/m;@"/>
    <numFmt numFmtId="195" formatCode="#,##0.00\ [$Kč-405];[Red]\-#,##0.00\ [$Kč-405]"/>
    <numFmt numFmtId="196" formatCode="#,##0.00\ [$€-1];[Red]\-#,##0.00\ [$€-1]"/>
    <numFmt numFmtId="197" formatCode="#,##0.0\ [$€-1];[Red]\-#,##0.0\ [$€-1]"/>
    <numFmt numFmtId="198" formatCode="[$-F400]h:mm:ss\ AM/PM"/>
    <numFmt numFmtId="199" formatCode="h:mm;@"/>
    <numFmt numFmtId="200" formatCode="[h]:mm:ss;@"/>
    <numFmt numFmtId="201" formatCode="mm:ss.0;@"/>
  </numFmts>
  <fonts count="43" x14ac:knownFonts="1">
    <font>
      <sz val="11"/>
      <color rgb="FF000000"/>
      <name val="Calibri"/>
    </font>
    <font>
      <b/>
      <i/>
      <sz val="14"/>
      <color rgb="FFEEECE1"/>
      <name val="Calibri"/>
    </font>
    <font>
      <sz val="11"/>
      <name val="Calibri"/>
    </font>
    <font>
      <sz val="11"/>
      <color rgb="FFE5E5E5"/>
      <name val="Calibri"/>
    </font>
    <font>
      <b/>
      <i/>
      <sz val="18"/>
      <color rgb="FFEEECE1"/>
      <name val="Calibri"/>
    </font>
    <font>
      <sz val="11"/>
      <name val="Calibri"/>
    </font>
    <font>
      <b/>
      <i/>
      <sz val="18"/>
      <color rgb="FF000000"/>
      <name val="Calibri"/>
    </font>
    <font>
      <b/>
      <i/>
      <sz val="12"/>
      <color rgb="FF1D1B10"/>
      <name val="Calibri"/>
    </font>
    <font>
      <b/>
      <sz val="12"/>
      <color rgb="FF1D1B10"/>
      <name val="Calibri"/>
    </font>
    <font>
      <sz val="8"/>
      <color rgb="FF000000"/>
      <name val="Calibri"/>
    </font>
    <font>
      <b/>
      <i/>
      <sz val="14"/>
      <color rgb="FF1D1B10"/>
      <name val="Calibri"/>
    </font>
    <font>
      <sz val="11"/>
      <color rgb="FF000000"/>
      <name val="Arial"/>
    </font>
    <font>
      <b/>
      <sz val="11"/>
      <color rgb="FF1D1B10"/>
      <name val="Calibri"/>
    </font>
    <font>
      <sz val="11"/>
      <color rgb="FF1D1B10"/>
      <name val="Calibri"/>
    </font>
    <font>
      <sz val="12"/>
      <color rgb="FF000000"/>
      <name val="Calibri"/>
    </font>
    <font>
      <sz val="9"/>
      <color rgb="FF000000"/>
      <name val="Calibri"/>
    </font>
    <font>
      <u/>
      <sz val="11"/>
      <color rgb="FF0000FF"/>
      <name val="Calibri"/>
    </font>
    <font>
      <sz val="11"/>
      <color rgb="FF953734"/>
      <name val="Calibri"/>
    </font>
    <font>
      <sz val="11"/>
      <color rgb="FFFFFFFF"/>
      <name val="Calibri"/>
    </font>
    <font>
      <b/>
      <i/>
      <sz val="14"/>
      <color rgb="FF000000"/>
      <name val="Calibri"/>
    </font>
    <font>
      <b/>
      <i/>
      <sz val="11"/>
      <color rgb="FF000000"/>
      <name val="Calibri"/>
    </font>
    <font>
      <sz val="11"/>
      <color rgb="FFFF0000"/>
      <name val="Calibri"/>
    </font>
    <font>
      <u/>
      <sz val="11"/>
      <color theme="10"/>
      <name val="Calibri"/>
    </font>
    <font>
      <sz val="11"/>
      <color theme="0" tint="-9.9978637043366805E-2"/>
      <name val="Calibri"/>
    </font>
    <font>
      <b/>
      <sz val="14"/>
      <color rgb="FF000000"/>
      <name val="Calibri"/>
      <family val="2"/>
      <scheme val="minor"/>
    </font>
    <font>
      <b/>
      <i/>
      <sz val="18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4"/>
      <color rgb="FF000000"/>
      <name val="Calibri"/>
    </font>
    <font>
      <sz val="14"/>
      <name val="Calibri"/>
    </font>
    <font>
      <b/>
      <sz val="14"/>
      <color rgb="FF1D1B10"/>
      <name val="Calibri"/>
    </font>
    <font>
      <sz val="6"/>
      <name val="Yu Gothic"/>
      <family val="2"/>
      <charset val="128"/>
    </font>
    <font>
      <sz val="11"/>
      <color theme="1"/>
      <name val="Calibri"/>
    </font>
    <font>
      <u/>
      <sz val="11"/>
      <color theme="1"/>
      <name val="Calibri"/>
    </font>
    <font>
      <u/>
      <sz val="11"/>
      <color rgb="FF000000"/>
      <name val="Calibri"/>
    </font>
    <font>
      <strike/>
      <sz val="11"/>
      <color rgb="FF000000"/>
      <name val="Calibri"/>
    </font>
    <font>
      <strike/>
      <sz val="11"/>
      <color theme="1"/>
      <name val="Calibri"/>
    </font>
    <font>
      <sz val="11"/>
      <color theme="0"/>
      <name val="Calibri"/>
    </font>
    <font>
      <u/>
      <sz val="11"/>
      <color theme="0"/>
      <name val="Calibri"/>
    </font>
    <font>
      <b/>
      <sz val="14"/>
      <color rgb="FF000000"/>
      <name val="Calibri"/>
    </font>
    <font>
      <b/>
      <sz val="11"/>
      <color rgb="FF000000"/>
      <name val="Calibri"/>
    </font>
    <font>
      <b/>
      <sz val="11"/>
      <color theme="0"/>
      <name val="Calibri"/>
    </font>
    <font>
      <sz val="16"/>
      <color rgb="FF000000"/>
      <name val="Calibri"/>
    </font>
    <font>
      <b/>
      <sz val="12"/>
      <color rgb="FF000000"/>
      <name val="Calibri"/>
    </font>
  </fonts>
  <fills count="36">
    <fill>
      <patternFill patternType="none"/>
    </fill>
    <fill>
      <patternFill patternType="gray125"/>
    </fill>
    <fill>
      <patternFill patternType="solid">
        <fgColor rgb="FF494429"/>
        <bgColor rgb="FF494429"/>
      </patternFill>
    </fill>
    <fill>
      <patternFill patternType="solid">
        <fgColor rgb="FFD8D8D8"/>
        <bgColor rgb="FFD8D8D8"/>
      </patternFill>
    </fill>
    <fill>
      <patternFill patternType="solid">
        <fgColor rgb="FF3D85C6"/>
        <bgColor rgb="FF3D85C6"/>
      </patternFill>
    </fill>
    <fill>
      <patternFill patternType="solid">
        <fgColor rgb="FFA4C2F4"/>
        <bgColor rgb="FFA4C2F4"/>
      </patternFill>
    </fill>
    <fill>
      <patternFill patternType="solid">
        <fgColor rgb="FFF3F3F3"/>
        <bgColor rgb="FFF3F3F3"/>
      </patternFill>
    </fill>
    <fill>
      <patternFill patternType="solid">
        <fgColor rgb="FF938953"/>
        <bgColor rgb="FF938953"/>
      </patternFill>
    </fill>
    <fill>
      <patternFill patternType="solid">
        <fgColor rgb="FFFFFFFF"/>
        <bgColor rgb="FFFFFFFF"/>
      </patternFill>
    </fill>
    <fill>
      <patternFill patternType="solid">
        <fgColor rgb="FFDDD9C3"/>
        <bgColor rgb="FFDDD9C3"/>
      </patternFill>
    </fill>
    <fill>
      <patternFill patternType="solid">
        <fgColor rgb="FFEEECE1"/>
        <bgColor rgb="FFEEECE1"/>
      </patternFill>
    </fill>
    <fill>
      <patternFill patternType="solid">
        <fgColor rgb="FFE5E5E5"/>
        <bgColor rgb="FFE5E5E5"/>
      </patternFill>
    </fill>
    <fill>
      <patternFill patternType="solid">
        <fgColor rgb="FFC4BD97"/>
        <bgColor rgb="FFC4BD97"/>
      </patternFill>
    </fill>
    <fill>
      <patternFill patternType="solid">
        <fgColor rgb="FF7F7F7F"/>
        <bgColor rgb="FF7F7F7F"/>
      </patternFill>
    </fill>
    <fill>
      <patternFill patternType="solid">
        <fgColor rgb="FFD99594"/>
        <bgColor rgb="FFD99594"/>
      </patternFill>
    </fill>
    <fill>
      <patternFill patternType="solid">
        <fgColor rgb="FFBFBFBF"/>
        <bgColor rgb="FFBFBFBF"/>
      </patternFill>
    </fill>
    <fill>
      <patternFill patternType="solid">
        <fgColor rgb="FFC6D9F0"/>
        <bgColor rgb="FFC6D9F0"/>
      </patternFill>
    </fill>
    <fill>
      <patternFill patternType="solid">
        <fgColor rgb="FF953734"/>
        <bgColor rgb="FF953734"/>
      </patternFill>
    </fill>
    <fill>
      <patternFill patternType="solid">
        <fgColor rgb="FFB8CCE4"/>
        <bgColor rgb="FFB8CCE4"/>
      </patternFill>
    </fill>
    <fill>
      <patternFill patternType="solid">
        <fgColor rgb="FF548DD4"/>
        <bgColor rgb="FF548DD4"/>
      </patternFill>
    </fill>
    <fill>
      <patternFill patternType="solid">
        <fgColor theme="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1" tint="0.8999908444471571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4F81BD"/>
        <bgColor rgb="FF4F81BD"/>
      </patternFill>
    </fill>
    <fill>
      <patternFill patternType="solid">
        <fgColor rgb="FF366092"/>
        <bgColor rgb="FF366092"/>
      </patternFill>
    </fill>
    <fill>
      <patternFill patternType="solid">
        <fgColor theme="4"/>
        <bgColor indexed="64"/>
      </patternFill>
    </fill>
    <fill>
      <patternFill patternType="solid">
        <fgColor theme="1" tint="0.749992370372631"/>
        <bgColor indexed="64"/>
      </patternFill>
    </fill>
    <fill>
      <patternFill patternType="solid">
        <fgColor theme="0" tint="-9.9978637043366805E-2"/>
        <bgColor indexed="64"/>
      </patternFill>
    </fill>
  </fills>
  <borders count="430">
    <border>
      <left/>
      <right/>
      <top/>
      <bottom/>
      <diagonal/>
    </border>
    <border>
      <left style="medium">
        <color rgb="FF505050"/>
      </left>
      <right/>
      <top style="medium">
        <color rgb="FF505050"/>
      </top>
      <bottom/>
      <diagonal/>
    </border>
    <border>
      <left style="medium">
        <color rgb="FF000000"/>
      </left>
      <right/>
      <top style="medium">
        <color rgb="FF50505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/>
      <top style="medium">
        <color rgb="FF50505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dotted">
        <color rgb="FF000000"/>
      </bottom>
      <diagonal/>
    </border>
    <border>
      <left/>
      <right style="medium">
        <color rgb="FF000000"/>
      </right>
      <top style="medium">
        <color rgb="FF000000"/>
      </top>
      <bottom style="dotted">
        <color rgb="FF000000"/>
      </bottom>
      <diagonal/>
    </border>
    <border>
      <left/>
      <right style="thin">
        <color rgb="FF000000"/>
      </right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thin">
        <color rgb="FF505050"/>
      </left>
      <right/>
      <top style="medium">
        <color rgb="FF000000"/>
      </top>
      <bottom/>
      <diagonal/>
    </border>
    <border>
      <left style="thin">
        <color rgb="FF505050"/>
      </left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505050"/>
      </top>
      <bottom style="medium">
        <color rgb="FF000000"/>
      </bottom>
      <diagonal/>
    </border>
    <border>
      <left/>
      <right style="medium">
        <color rgb="FF000000"/>
      </right>
      <top style="dotted">
        <color rgb="FF000000"/>
      </top>
      <bottom style="dotted">
        <color rgb="FF000000"/>
      </bottom>
      <diagonal/>
    </border>
    <border>
      <left/>
      <right/>
      <top style="dotted">
        <color rgb="FF000000"/>
      </top>
      <bottom style="dotted">
        <color rgb="FF000000"/>
      </bottom>
      <diagonal/>
    </border>
    <border>
      <left/>
      <right style="thin">
        <color rgb="FF000000"/>
      </right>
      <top style="dotted">
        <color rgb="FF505050"/>
      </top>
      <bottom/>
      <diagonal/>
    </border>
    <border>
      <left/>
      <right/>
      <top style="dotted">
        <color rgb="FF505050"/>
      </top>
      <bottom/>
      <diagonal/>
    </border>
    <border>
      <left style="thin">
        <color rgb="FF505050"/>
      </left>
      <right/>
      <top style="dotted">
        <color rgb="FF505050"/>
      </top>
      <bottom/>
      <diagonal/>
    </border>
    <border>
      <left style="thin">
        <color rgb="FF505050"/>
      </left>
      <right style="medium">
        <color rgb="FF000000"/>
      </right>
      <top style="dotted">
        <color rgb="FF505050"/>
      </top>
      <bottom/>
      <diagonal/>
    </border>
    <border>
      <left/>
      <right style="medium">
        <color rgb="FF000000"/>
      </right>
      <top style="dotted">
        <color rgb="FF000000"/>
      </top>
      <bottom style="dotted">
        <color rgb="FF000000"/>
      </bottom>
      <diagonal/>
    </border>
    <border>
      <left/>
      <right/>
      <top style="dotted">
        <color rgb="FF000000"/>
      </top>
      <bottom style="dotted">
        <color rgb="FF000000"/>
      </bottom>
      <diagonal/>
    </border>
    <border>
      <left/>
      <right style="thin">
        <color rgb="FF000000"/>
      </right>
      <top style="dotted">
        <color rgb="FF505050"/>
      </top>
      <bottom/>
      <diagonal/>
    </border>
    <border>
      <left/>
      <right/>
      <top style="dotted">
        <color rgb="FF505050"/>
      </top>
      <bottom/>
      <diagonal/>
    </border>
    <border>
      <left style="thin">
        <color rgb="FF505050"/>
      </left>
      <right/>
      <top style="dotted">
        <color rgb="FF505050"/>
      </top>
      <bottom/>
      <diagonal/>
    </border>
    <border>
      <left style="thin">
        <color rgb="FF505050"/>
      </left>
      <right style="medium">
        <color rgb="FF000000"/>
      </right>
      <top style="dotted">
        <color rgb="FF505050"/>
      </top>
      <bottom/>
      <diagonal/>
    </border>
    <border>
      <left/>
      <right/>
      <top style="dotted">
        <color rgb="FF505050"/>
      </top>
      <bottom style="medium">
        <color rgb="FF000000"/>
      </bottom>
      <diagonal/>
    </border>
    <border>
      <left style="thin">
        <color rgb="FF505050"/>
      </left>
      <right/>
      <top style="dotted">
        <color rgb="FF505050"/>
      </top>
      <bottom style="medium">
        <color rgb="FF000000"/>
      </bottom>
      <diagonal/>
    </border>
    <border>
      <left style="thin">
        <color rgb="FF505050"/>
      </left>
      <right style="medium">
        <color rgb="FF000000"/>
      </right>
      <top style="dotted">
        <color rgb="FF505050"/>
      </top>
      <bottom style="medium">
        <color rgb="FF000000"/>
      </bottom>
      <diagonal/>
    </border>
    <border>
      <left/>
      <right style="medium">
        <color rgb="FF000000"/>
      </right>
      <top style="dotted">
        <color rgb="FF505050"/>
      </top>
      <bottom/>
      <diagonal/>
    </border>
    <border>
      <left/>
      <right style="medium">
        <color rgb="FF000000"/>
      </right>
      <top style="medium">
        <color rgb="FF505050"/>
      </top>
      <bottom/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dotted">
        <color rgb="FF000000"/>
      </top>
      <bottom style="medium">
        <color rgb="FF000000"/>
      </bottom>
      <diagonal/>
    </border>
    <border>
      <left/>
      <right style="medium">
        <color rgb="FF000000"/>
      </right>
      <top style="dotted">
        <color rgb="FF000000"/>
      </top>
      <bottom style="medium">
        <color rgb="FF000000"/>
      </bottom>
      <diagonal/>
    </border>
    <border>
      <left/>
      <right/>
      <top/>
      <bottom/>
      <diagonal/>
    </border>
    <border>
      <left style="medium">
        <color rgb="FFFFFFFF"/>
      </left>
      <right/>
      <top style="medium">
        <color rgb="FFFFFFFF"/>
      </top>
      <bottom style="medium">
        <color rgb="FFFFFFFF"/>
      </bottom>
      <diagonal/>
    </border>
    <border>
      <left/>
      <right/>
      <top style="medium">
        <color rgb="FFFFFFFF"/>
      </top>
      <bottom style="medium">
        <color rgb="FFFFFFFF"/>
      </bottom>
      <diagonal/>
    </border>
    <border>
      <left/>
      <right/>
      <top style="medium">
        <color rgb="FFFFFFFF"/>
      </top>
      <bottom style="medium">
        <color rgb="FFFFFFFF"/>
      </bottom>
      <diagonal/>
    </border>
    <border>
      <left/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/>
      <top style="medium">
        <color rgb="FFFFFFFF"/>
      </top>
      <bottom style="medium">
        <color rgb="FFFFFFFF"/>
      </bottom>
      <diagonal/>
    </border>
    <border>
      <left style="medium">
        <color rgb="FF505050"/>
      </left>
      <right style="thin">
        <color rgb="FF000000"/>
      </right>
      <top/>
      <bottom/>
      <diagonal/>
    </border>
    <border>
      <left style="thin">
        <color rgb="FF505050"/>
      </left>
      <right/>
      <top/>
      <bottom/>
      <diagonal/>
    </border>
    <border>
      <left style="medium">
        <color rgb="FF505050"/>
      </left>
      <right style="thin">
        <color rgb="FF000000"/>
      </right>
      <top/>
      <bottom style="medium">
        <color rgb="FF505050"/>
      </bottom>
      <diagonal/>
    </border>
    <border>
      <left/>
      <right style="thin">
        <color rgb="FF000000"/>
      </right>
      <top/>
      <bottom style="medium">
        <color rgb="FF505050"/>
      </bottom>
      <diagonal/>
    </border>
    <border>
      <left/>
      <right style="medium">
        <color rgb="FF505050"/>
      </right>
      <top/>
      <bottom style="medium">
        <color rgb="FF505050"/>
      </bottom>
      <diagonal/>
    </border>
    <border>
      <left/>
      <right style="thin">
        <color rgb="FF505050"/>
      </right>
      <top/>
      <bottom style="thin">
        <color rgb="FF505050"/>
      </bottom>
      <diagonal/>
    </border>
    <border>
      <left/>
      <right/>
      <top/>
      <bottom style="thin">
        <color rgb="FF505050"/>
      </bottom>
      <diagonal/>
    </border>
    <border>
      <left style="medium">
        <color rgb="FF505050"/>
      </left>
      <right/>
      <top/>
      <bottom style="thin">
        <color rgb="FF50505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/>
      <top/>
      <bottom style="thin">
        <color rgb="FF505050"/>
      </bottom>
      <diagonal/>
    </border>
    <border>
      <left style="thin">
        <color rgb="FF505050"/>
      </left>
      <right style="thin">
        <color rgb="FF000000"/>
      </right>
      <top/>
      <bottom style="thin">
        <color rgb="FF505050"/>
      </bottom>
      <diagonal/>
    </border>
    <border>
      <left/>
      <right style="medium">
        <color rgb="FF000000"/>
      </right>
      <top/>
      <bottom style="thin">
        <color rgb="FF505050"/>
      </bottom>
      <diagonal/>
    </border>
    <border>
      <left style="thin">
        <color rgb="FF505050"/>
      </left>
      <right style="medium">
        <color rgb="FF505050"/>
      </right>
      <top/>
      <bottom style="thin">
        <color rgb="FF505050"/>
      </bottom>
      <diagonal/>
    </border>
    <border>
      <left/>
      <right style="medium">
        <color rgb="FF505050"/>
      </right>
      <top/>
      <bottom style="thin">
        <color rgb="FF505050"/>
      </bottom>
      <diagonal/>
    </border>
    <border>
      <left style="medium">
        <color rgb="FF505050"/>
      </left>
      <right style="thin">
        <color rgb="FF505050"/>
      </right>
      <top/>
      <bottom style="thin">
        <color rgb="FF505050"/>
      </bottom>
      <diagonal/>
    </border>
    <border>
      <left/>
      <right style="thin">
        <color rgb="FF000000"/>
      </right>
      <top/>
      <bottom style="thin">
        <color rgb="FF505050"/>
      </bottom>
      <diagonal/>
    </border>
    <border>
      <left/>
      <right style="thin">
        <color rgb="FF505050"/>
      </right>
      <top/>
      <bottom/>
      <diagonal/>
    </border>
    <border>
      <left/>
      <right style="medium">
        <color rgb="FF505050"/>
      </right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505050"/>
      </left>
      <right style="thin">
        <color rgb="FF505050"/>
      </right>
      <top style="medium">
        <color rgb="FF505050"/>
      </top>
      <bottom style="dotted">
        <color rgb="FF505050"/>
      </bottom>
      <diagonal/>
    </border>
    <border>
      <left/>
      <right style="thin">
        <color rgb="FF505050"/>
      </right>
      <top style="medium">
        <color rgb="FF505050"/>
      </top>
      <bottom style="dotted">
        <color rgb="FF505050"/>
      </bottom>
      <diagonal/>
    </border>
    <border>
      <left/>
      <right/>
      <top style="medium">
        <color rgb="FF505050"/>
      </top>
      <bottom style="dotted">
        <color rgb="FF505050"/>
      </bottom>
      <diagonal/>
    </border>
    <border>
      <left style="medium">
        <color rgb="FF505050"/>
      </left>
      <right/>
      <top/>
      <bottom style="dotted">
        <color rgb="FF505050"/>
      </bottom>
      <diagonal/>
    </border>
    <border>
      <left style="thin">
        <color rgb="FF505050"/>
      </left>
      <right style="thin">
        <color rgb="FF505050"/>
      </right>
      <top/>
      <bottom style="dotted">
        <color rgb="FF505050"/>
      </bottom>
      <diagonal/>
    </border>
    <border>
      <left/>
      <right style="medium">
        <color rgb="FF505050"/>
      </right>
      <top/>
      <bottom style="dotted">
        <color rgb="FF505050"/>
      </bottom>
      <diagonal/>
    </border>
    <border>
      <left/>
      <right style="thin">
        <color rgb="FF505050"/>
      </right>
      <top/>
      <bottom style="dotted">
        <color rgb="FF505050"/>
      </bottom>
      <diagonal/>
    </border>
    <border>
      <left/>
      <right/>
      <top/>
      <bottom style="dotted">
        <color rgb="FF505050"/>
      </bottom>
      <diagonal/>
    </border>
    <border>
      <left style="medium">
        <color rgb="FF505050"/>
      </left>
      <right style="thin">
        <color rgb="FF505050"/>
      </right>
      <top/>
      <bottom style="dotted">
        <color rgb="FF505050"/>
      </bottom>
      <diagonal/>
    </border>
    <border>
      <left style="medium">
        <color rgb="FF000000"/>
      </left>
      <right/>
      <top/>
      <bottom style="dotted">
        <color rgb="FF505050"/>
      </bottom>
      <diagonal/>
    </border>
    <border>
      <left style="thin">
        <color rgb="FF505050"/>
      </left>
      <right style="thin">
        <color rgb="FF000000"/>
      </right>
      <top/>
      <bottom style="dotted">
        <color rgb="FF505050"/>
      </bottom>
      <diagonal/>
    </border>
    <border>
      <left/>
      <right style="medium">
        <color rgb="FF000000"/>
      </right>
      <top/>
      <bottom style="dotted">
        <color rgb="FF505050"/>
      </bottom>
      <diagonal/>
    </border>
    <border>
      <left/>
      <right/>
      <top/>
      <bottom style="medium">
        <color rgb="FF505050"/>
      </bottom>
      <diagonal/>
    </border>
    <border>
      <left style="thin">
        <color rgb="FF505050"/>
      </left>
      <right style="medium">
        <color rgb="FF505050"/>
      </right>
      <top/>
      <bottom style="medium">
        <color rgb="FF505050"/>
      </bottom>
      <diagonal/>
    </border>
    <border>
      <left/>
      <right style="medium">
        <color rgb="FF505050"/>
      </right>
      <top/>
      <bottom style="dotted">
        <color rgb="FF505050"/>
      </bottom>
      <diagonal/>
    </border>
    <border>
      <left/>
      <right style="thin">
        <color rgb="FF000000"/>
      </right>
      <top/>
      <bottom style="dotted">
        <color rgb="FF505050"/>
      </bottom>
      <diagonal/>
    </border>
    <border>
      <left/>
      <right style="medium">
        <color rgb="FF000000"/>
      </right>
      <top/>
      <bottom style="dotted">
        <color rgb="FF505050"/>
      </bottom>
      <diagonal/>
    </border>
    <border>
      <left/>
      <right style="thin">
        <color rgb="FF505050"/>
      </right>
      <top style="dotted">
        <color rgb="FF505050"/>
      </top>
      <bottom style="medium">
        <color rgb="FF505050"/>
      </bottom>
      <diagonal/>
    </border>
    <border>
      <left/>
      <right style="medium">
        <color rgb="FF505050"/>
      </right>
      <top style="dotted">
        <color rgb="FF505050"/>
      </top>
      <bottom style="medium">
        <color rgb="FF505050"/>
      </bottom>
      <diagonal/>
    </border>
    <border>
      <left/>
      <right style="thin">
        <color rgb="FF505050"/>
      </right>
      <top style="dotted">
        <color rgb="FF505050"/>
      </top>
      <bottom style="medium">
        <color rgb="FF000000"/>
      </bottom>
      <diagonal/>
    </border>
    <border>
      <left/>
      <right style="medium">
        <color rgb="FF000000"/>
      </right>
      <top style="dotted">
        <color rgb="FF505050"/>
      </top>
      <bottom style="medium">
        <color rgb="FF000000"/>
      </bottom>
      <diagonal/>
    </border>
    <border>
      <left style="medium">
        <color rgb="FF505050"/>
      </left>
      <right style="thin">
        <color rgb="FF505050"/>
      </right>
      <top style="dotted">
        <color rgb="FF505050"/>
      </top>
      <bottom style="dotted">
        <color rgb="FF505050"/>
      </bottom>
      <diagonal/>
    </border>
    <border>
      <left/>
      <right style="thin">
        <color rgb="FF505050"/>
      </right>
      <top/>
      <bottom style="dotted">
        <color rgb="FF505050"/>
      </bottom>
      <diagonal/>
    </border>
    <border>
      <left/>
      <right/>
      <top style="dotted">
        <color rgb="FF505050"/>
      </top>
      <bottom style="dotted">
        <color rgb="FF505050"/>
      </bottom>
      <diagonal/>
    </border>
    <border>
      <left style="medium">
        <color rgb="FF505050"/>
      </left>
      <right/>
      <top style="dotted">
        <color rgb="FF505050"/>
      </top>
      <bottom style="dotted">
        <color rgb="FF505050"/>
      </bottom>
      <diagonal/>
    </border>
    <border>
      <left/>
      <right style="medium">
        <color rgb="FF505050"/>
      </right>
      <top style="dotted">
        <color rgb="FF505050"/>
      </top>
      <bottom style="dotted">
        <color rgb="FF505050"/>
      </bottom>
      <diagonal/>
    </border>
    <border>
      <left/>
      <right style="thin">
        <color rgb="FF505050"/>
      </right>
      <top style="dotted">
        <color rgb="FF505050"/>
      </top>
      <bottom style="dotted">
        <color rgb="FF505050"/>
      </bottom>
      <diagonal/>
    </border>
    <border>
      <left/>
      <right/>
      <top style="dotted">
        <color rgb="FF505050"/>
      </top>
      <bottom style="dotted">
        <color rgb="FF505050"/>
      </bottom>
      <diagonal/>
    </border>
    <border>
      <left style="medium">
        <color rgb="FF000000"/>
      </left>
      <right style="thin">
        <color rgb="FF505050"/>
      </right>
      <top style="dotted">
        <color rgb="FF505050"/>
      </top>
      <bottom style="dotted">
        <color rgb="FF505050"/>
      </bottom>
      <diagonal/>
    </border>
    <border>
      <left/>
      <right style="thin">
        <color rgb="FF000000"/>
      </right>
      <top style="dotted">
        <color rgb="FF505050"/>
      </top>
      <bottom style="dotted">
        <color rgb="FF505050"/>
      </bottom>
      <diagonal/>
    </border>
    <border>
      <left/>
      <right style="medium">
        <color rgb="FF000000"/>
      </right>
      <top style="dotted">
        <color rgb="FF505050"/>
      </top>
      <bottom style="dotted">
        <color rgb="FF505050"/>
      </bottom>
      <diagonal/>
    </border>
    <border>
      <left/>
      <right/>
      <top style="medium">
        <color rgb="FF505050"/>
      </top>
      <bottom style="dotted">
        <color rgb="FF505050"/>
      </bottom>
      <diagonal/>
    </border>
    <border>
      <left/>
      <right style="medium">
        <color rgb="FF505050"/>
      </right>
      <top style="medium">
        <color rgb="FF505050"/>
      </top>
      <bottom style="dotted">
        <color rgb="FF505050"/>
      </bottom>
      <diagonal/>
    </border>
    <border>
      <left/>
      <right style="medium">
        <color rgb="FF000000"/>
      </right>
      <top style="dotted">
        <color rgb="FF505050"/>
      </top>
      <bottom style="dotted">
        <color rgb="FF50505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505050"/>
      </bottom>
      <diagonal/>
    </border>
    <border>
      <left/>
      <right style="medium">
        <color rgb="FF505050"/>
      </right>
      <top style="medium">
        <color rgb="FF000000"/>
      </top>
      <bottom style="medium">
        <color rgb="FF505050"/>
      </bottom>
      <diagonal/>
    </border>
    <border>
      <left style="medium">
        <color rgb="FF000000"/>
      </left>
      <right/>
      <top style="dotted">
        <color rgb="FF505050"/>
      </top>
      <bottom style="dotted">
        <color rgb="FF505050"/>
      </bottom>
      <diagonal/>
    </border>
    <border>
      <left style="thin">
        <color rgb="FF505050"/>
      </left>
      <right style="thin">
        <color rgb="FF000000"/>
      </right>
      <top style="dotted">
        <color rgb="FF505050"/>
      </top>
      <bottom style="dotted">
        <color rgb="FF505050"/>
      </bottom>
      <diagonal/>
    </border>
    <border>
      <left/>
      <right style="medium">
        <color rgb="FF505050"/>
      </right>
      <top style="dotted">
        <color rgb="FF505050"/>
      </top>
      <bottom/>
      <diagonal/>
    </border>
    <border>
      <left/>
      <right style="thin">
        <color rgb="FF505050"/>
      </right>
      <top style="medium">
        <color rgb="FF000000"/>
      </top>
      <bottom/>
      <diagonal/>
    </border>
    <border>
      <left style="medium">
        <color rgb="FF505050"/>
      </left>
      <right style="thin">
        <color rgb="FF505050"/>
      </right>
      <top/>
      <bottom/>
      <diagonal/>
    </border>
    <border>
      <left style="thin">
        <color rgb="FF505050"/>
      </left>
      <right style="medium">
        <color rgb="FF505050"/>
      </right>
      <top/>
      <bottom/>
      <diagonal/>
    </border>
    <border>
      <left/>
      <right style="thin">
        <color rgb="FF505050"/>
      </right>
      <top style="dotted">
        <color rgb="FF505050"/>
      </top>
      <bottom/>
      <diagonal/>
    </border>
    <border>
      <left/>
      <right style="medium">
        <color rgb="FF000000"/>
      </right>
      <top style="dotted">
        <color rgb="FF505050"/>
      </top>
      <bottom/>
      <diagonal/>
    </border>
    <border>
      <left style="medium">
        <color rgb="FF505050"/>
      </left>
      <right style="thin">
        <color rgb="FF505050"/>
      </right>
      <top style="dotted">
        <color rgb="FF505050"/>
      </top>
      <bottom style="medium">
        <color rgb="FF505050"/>
      </bottom>
      <diagonal/>
    </border>
    <border>
      <left style="thin">
        <color rgb="FF505050"/>
      </left>
      <right style="medium">
        <color rgb="FF505050"/>
      </right>
      <top style="dotted">
        <color rgb="FF505050"/>
      </top>
      <bottom style="medium">
        <color rgb="FF505050"/>
      </bottom>
      <diagonal/>
    </border>
    <border>
      <left/>
      <right/>
      <top style="dotted">
        <color rgb="FF505050"/>
      </top>
      <bottom style="medium">
        <color rgb="FF505050"/>
      </bottom>
      <diagonal/>
    </border>
    <border>
      <left/>
      <right style="medium">
        <color rgb="FF505050"/>
      </right>
      <top style="dotted">
        <color rgb="FF505050"/>
      </top>
      <bottom style="medium">
        <color rgb="FF505050"/>
      </bottom>
      <diagonal/>
    </border>
    <border>
      <left/>
      <right style="thin">
        <color rgb="FF505050"/>
      </right>
      <top style="medium">
        <color rgb="FF505050"/>
      </top>
      <bottom style="medium">
        <color rgb="FF505050"/>
      </bottom>
      <diagonal/>
    </border>
    <border>
      <left style="thin">
        <color rgb="FF505050"/>
      </left>
      <right style="medium">
        <color rgb="FF505050"/>
      </right>
      <top style="medium">
        <color rgb="FF505050"/>
      </top>
      <bottom style="medium">
        <color rgb="FF505050"/>
      </bottom>
      <diagonal/>
    </border>
    <border>
      <left style="thin">
        <color rgb="FF505050"/>
      </left>
      <right style="medium">
        <color rgb="FF505050"/>
      </right>
      <top/>
      <bottom style="dotted">
        <color rgb="FF505050"/>
      </bottom>
      <diagonal/>
    </border>
    <border>
      <left style="thin">
        <color rgb="FF505050"/>
      </left>
      <right style="medium">
        <color rgb="FF505050"/>
      </right>
      <top style="dotted">
        <color rgb="FF505050"/>
      </top>
      <bottom style="dotted">
        <color rgb="FF505050"/>
      </bottom>
      <diagonal/>
    </border>
    <border>
      <left/>
      <right/>
      <top style="thin">
        <color rgb="FF505050"/>
      </top>
      <bottom style="medium">
        <color rgb="FF505050"/>
      </bottom>
      <diagonal/>
    </border>
    <border>
      <left/>
      <right style="medium">
        <color rgb="FF505050"/>
      </right>
      <top style="thin">
        <color rgb="FF505050"/>
      </top>
      <bottom style="medium">
        <color rgb="FF505050"/>
      </bottom>
      <diagonal/>
    </border>
    <border>
      <left style="medium">
        <color rgb="FF505050"/>
      </left>
      <right/>
      <top style="dotted">
        <color rgb="FF505050"/>
      </top>
      <bottom style="dotted">
        <color rgb="FF505050"/>
      </bottom>
      <diagonal/>
    </border>
    <border>
      <left/>
      <right style="medium">
        <color rgb="FF505050"/>
      </right>
      <top style="dotted">
        <color rgb="FF505050"/>
      </top>
      <bottom style="dotted">
        <color rgb="FF505050"/>
      </bottom>
      <diagonal/>
    </border>
    <border>
      <left style="thin">
        <color rgb="FF505050"/>
      </left>
      <right style="thin">
        <color rgb="FF505050"/>
      </right>
      <top/>
      <bottom style="dotted">
        <color rgb="FF505050"/>
      </bottom>
      <diagonal/>
    </border>
    <border>
      <left style="medium">
        <color rgb="FF505050"/>
      </left>
      <right style="thin">
        <color rgb="FF505050"/>
      </right>
      <top style="dotted">
        <color rgb="FF505050"/>
      </top>
      <bottom/>
      <diagonal/>
    </border>
    <border>
      <left/>
      <right style="thin">
        <color rgb="FF505050"/>
      </right>
      <top/>
      <bottom/>
      <diagonal/>
    </border>
    <border>
      <left style="medium">
        <color rgb="FF505050"/>
      </left>
      <right/>
      <top style="dotted">
        <color rgb="FF505050"/>
      </top>
      <bottom/>
      <diagonal/>
    </border>
    <border>
      <left style="thin">
        <color rgb="FF505050"/>
      </left>
      <right style="thin">
        <color rgb="FF505050"/>
      </right>
      <top/>
      <bottom/>
      <diagonal/>
    </border>
    <border>
      <left/>
      <right style="thin">
        <color rgb="FF505050"/>
      </right>
      <top style="dotted">
        <color rgb="FF505050"/>
      </top>
      <bottom/>
      <diagonal/>
    </border>
    <border>
      <left style="medium">
        <color rgb="FF000000"/>
      </left>
      <right style="thin">
        <color rgb="FF505050"/>
      </right>
      <top style="dotted">
        <color rgb="FF505050"/>
      </top>
      <bottom style="medium">
        <color rgb="FF000000"/>
      </bottom>
      <diagonal/>
    </border>
    <border>
      <left/>
      <right style="thin">
        <color rgb="FF000000"/>
      </right>
      <top style="dotted">
        <color rgb="FF505050"/>
      </top>
      <bottom style="medium">
        <color rgb="FF000000"/>
      </bottom>
      <diagonal/>
    </border>
    <border>
      <left/>
      <right style="thin">
        <color rgb="FF505050"/>
      </right>
      <top/>
      <bottom style="medium">
        <color rgb="FF505050"/>
      </bottom>
      <diagonal/>
    </border>
    <border>
      <left style="thin">
        <color rgb="FF505050"/>
      </left>
      <right style="medium">
        <color rgb="FF505050"/>
      </right>
      <top style="dotted">
        <color rgb="FF505050"/>
      </top>
      <bottom/>
      <diagonal/>
    </border>
    <border>
      <left/>
      <right style="medium">
        <color rgb="FF505050"/>
      </right>
      <top/>
      <bottom/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/>
      <top style="medium">
        <color rgb="FF000000"/>
      </top>
      <bottom style="dotted">
        <color rgb="FF505050"/>
      </bottom>
      <diagonal/>
    </border>
    <border>
      <left/>
      <right style="thin">
        <color rgb="FF505050"/>
      </right>
      <top style="medium">
        <color rgb="FF000000"/>
      </top>
      <bottom style="dotted">
        <color rgb="FF505050"/>
      </bottom>
      <diagonal/>
    </border>
    <border>
      <left/>
      <right style="medium">
        <color rgb="FF505050"/>
      </right>
      <top style="medium">
        <color rgb="FF000000"/>
      </top>
      <bottom/>
      <diagonal/>
    </border>
    <border>
      <left style="medium">
        <color rgb="FF505050"/>
      </left>
      <right/>
      <top style="medium">
        <color rgb="FF000000"/>
      </top>
      <bottom style="dotted">
        <color rgb="FF505050"/>
      </bottom>
      <diagonal/>
    </border>
    <border>
      <left/>
      <right style="thin">
        <color rgb="FF505050"/>
      </right>
      <top style="medium">
        <color rgb="FF000000"/>
      </top>
      <bottom style="dotted">
        <color rgb="FF505050"/>
      </bottom>
      <diagonal/>
    </border>
    <border>
      <left/>
      <right style="medium">
        <color rgb="FF505050"/>
      </right>
      <top style="medium">
        <color rgb="FF000000"/>
      </top>
      <bottom style="dotted">
        <color rgb="FF505050"/>
      </bottom>
      <diagonal/>
    </border>
    <border>
      <left/>
      <right/>
      <top/>
      <bottom style="dotted">
        <color rgb="FF505050"/>
      </bottom>
      <diagonal/>
    </border>
    <border>
      <left style="thin">
        <color rgb="FF505050"/>
      </left>
      <right style="thin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/>
      <right style="medium">
        <color rgb="FF505050"/>
      </right>
      <top style="medium">
        <color rgb="FF000000"/>
      </top>
      <bottom style="dotted">
        <color rgb="FF505050"/>
      </bottom>
      <diagonal/>
    </border>
    <border>
      <left/>
      <right/>
      <top style="medium">
        <color rgb="FF000000"/>
      </top>
      <bottom style="dotted">
        <color rgb="FF505050"/>
      </bottom>
      <diagonal/>
    </border>
    <border>
      <left style="thin">
        <color rgb="FF505050"/>
      </left>
      <right style="medium">
        <color rgb="FF505050"/>
      </right>
      <top style="medium">
        <color rgb="FF000000"/>
      </top>
      <bottom/>
      <diagonal/>
    </border>
    <border>
      <left/>
      <right style="thin">
        <color rgb="FF505050"/>
      </right>
      <top style="medium">
        <color rgb="FF000000"/>
      </top>
      <bottom style="dotted">
        <color rgb="FF000000"/>
      </bottom>
      <diagonal/>
    </border>
    <border>
      <left style="medium">
        <color rgb="FF505050"/>
      </left>
      <right/>
      <top style="medium">
        <color rgb="FF000000"/>
      </top>
      <bottom style="dotted">
        <color rgb="FF505050"/>
      </bottom>
      <diagonal/>
    </border>
    <border>
      <left style="medium">
        <color rgb="FF000000"/>
      </left>
      <right style="thin">
        <color rgb="FF505050"/>
      </right>
      <top/>
      <bottom style="medium">
        <color rgb="FF505050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medium">
        <color rgb="FF505050"/>
      </bottom>
      <diagonal/>
    </border>
    <border>
      <left style="thin">
        <color rgb="FF505050"/>
      </left>
      <right style="thin">
        <color rgb="FF000000"/>
      </right>
      <top/>
      <bottom style="medium">
        <color rgb="FF505050"/>
      </bottom>
      <diagonal/>
    </border>
    <border>
      <left style="thin">
        <color rgb="FF505050"/>
      </left>
      <right style="medium">
        <color rgb="FF505050"/>
      </right>
      <top/>
      <bottom style="medium">
        <color rgb="FF505050"/>
      </bottom>
      <diagonal/>
    </border>
    <border>
      <left/>
      <right style="medium">
        <color rgb="FF505050"/>
      </right>
      <top style="dotted">
        <color rgb="FF505050"/>
      </top>
      <bottom style="medium">
        <color rgb="FF000000"/>
      </bottom>
      <diagonal/>
    </border>
    <border>
      <left/>
      <right style="thin">
        <color rgb="FF505050"/>
      </right>
      <top style="dotted">
        <color rgb="FF000000"/>
      </top>
      <bottom style="medium">
        <color rgb="FF505050"/>
      </bottom>
      <diagonal/>
    </border>
    <border>
      <left/>
      <right/>
      <top style="dotted">
        <color rgb="FF505050"/>
      </top>
      <bottom style="medium">
        <color rgb="FF000000"/>
      </bottom>
      <diagonal/>
    </border>
    <border>
      <left style="medium">
        <color rgb="FF505050"/>
      </left>
      <right style="thin">
        <color rgb="FF505050"/>
      </right>
      <top/>
      <bottom style="medium">
        <color rgb="FF505050"/>
      </bottom>
      <diagonal/>
    </border>
    <border>
      <left/>
      <right style="thin">
        <color rgb="FF505050"/>
      </right>
      <top style="medium">
        <color rgb="FF505050"/>
      </top>
      <bottom style="dotted">
        <color rgb="FF000000"/>
      </bottom>
      <diagonal/>
    </border>
    <border>
      <left/>
      <right/>
      <top style="medium">
        <color rgb="FF505050"/>
      </top>
      <bottom style="dotted">
        <color rgb="FF000000"/>
      </bottom>
      <diagonal/>
    </border>
    <border>
      <left style="thin">
        <color rgb="FF505050"/>
      </left>
      <right style="thin">
        <color rgb="FF505050"/>
      </right>
      <top style="medium">
        <color rgb="FF505050"/>
      </top>
      <bottom style="dotted">
        <color rgb="FF000000"/>
      </bottom>
      <diagonal/>
    </border>
    <border>
      <left style="thin">
        <color rgb="FF505050"/>
      </left>
      <right/>
      <top style="medium">
        <color rgb="FF505050"/>
      </top>
      <bottom style="dotted">
        <color rgb="FF000000"/>
      </bottom>
      <diagonal/>
    </border>
    <border>
      <left/>
      <right style="medium">
        <color rgb="FF505050"/>
      </right>
      <top style="medium">
        <color rgb="FF505050"/>
      </top>
      <bottom style="dotted">
        <color rgb="FF000000"/>
      </bottom>
      <diagonal/>
    </border>
    <border>
      <left/>
      <right style="thin">
        <color rgb="FF505050"/>
      </right>
      <top style="dotted">
        <color rgb="FF000000"/>
      </top>
      <bottom style="dotted">
        <color rgb="FF000000"/>
      </bottom>
      <diagonal/>
    </border>
    <border>
      <left style="thin">
        <color rgb="FF505050"/>
      </left>
      <right style="thin">
        <color rgb="FF505050"/>
      </right>
      <top style="dotted">
        <color rgb="FF000000"/>
      </top>
      <bottom style="dotted">
        <color rgb="FF000000"/>
      </bottom>
      <diagonal/>
    </border>
    <border>
      <left style="thin">
        <color rgb="FF505050"/>
      </left>
      <right/>
      <top style="dotted">
        <color rgb="FF000000"/>
      </top>
      <bottom style="dotted">
        <color rgb="FF000000"/>
      </bottom>
      <diagonal/>
    </border>
    <border>
      <left/>
      <right style="medium">
        <color rgb="FF505050"/>
      </right>
      <top style="dotted">
        <color rgb="FF000000"/>
      </top>
      <bottom style="dotted">
        <color rgb="FF000000"/>
      </bottom>
      <diagonal/>
    </border>
    <border>
      <left/>
      <right style="thin">
        <color rgb="FF505050"/>
      </right>
      <top style="dotted">
        <color rgb="FF000000"/>
      </top>
      <bottom style="dotted">
        <color rgb="FF000000"/>
      </bottom>
      <diagonal/>
    </border>
    <border>
      <left style="thin">
        <color rgb="FF505050"/>
      </left>
      <right/>
      <top style="dotted">
        <color rgb="FF000000"/>
      </top>
      <bottom style="dotted">
        <color rgb="FF000000"/>
      </bottom>
      <diagonal/>
    </border>
    <border>
      <left/>
      <right style="medium">
        <color rgb="FF505050"/>
      </right>
      <top style="dotted">
        <color rgb="FF000000"/>
      </top>
      <bottom style="dotted">
        <color rgb="FF000000"/>
      </bottom>
      <diagonal/>
    </border>
    <border>
      <left style="medium">
        <color rgb="FF505050"/>
      </left>
      <right style="thin">
        <color rgb="FF505050"/>
      </right>
      <top/>
      <bottom style="dotted">
        <color rgb="FF000000"/>
      </bottom>
      <diagonal/>
    </border>
    <border>
      <left style="medium">
        <color rgb="FF505050"/>
      </left>
      <right style="thin">
        <color rgb="FF505050"/>
      </right>
      <top style="dotted">
        <color rgb="FF000000"/>
      </top>
      <bottom style="dotted">
        <color rgb="FF000000"/>
      </bottom>
      <diagonal/>
    </border>
    <border>
      <left style="medium">
        <color rgb="FF505050"/>
      </left>
      <right style="thin">
        <color rgb="FF505050"/>
      </right>
      <top style="dotted">
        <color rgb="FF000000"/>
      </top>
      <bottom style="medium">
        <color rgb="FF505050"/>
      </bottom>
      <diagonal/>
    </border>
    <border>
      <left/>
      <right/>
      <top style="dotted">
        <color rgb="FF000000"/>
      </top>
      <bottom style="medium">
        <color rgb="FF505050"/>
      </bottom>
      <diagonal/>
    </border>
    <border>
      <left style="thin">
        <color rgb="FF505050"/>
      </left>
      <right style="thin">
        <color rgb="FF505050"/>
      </right>
      <top style="dotted">
        <color rgb="FF000000"/>
      </top>
      <bottom style="medium">
        <color rgb="FF505050"/>
      </bottom>
      <diagonal/>
    </border>
    <border>
      <left style="thin">
        <color rgb="FF505050"/>
      </left>
      <right/>
      <top style="dotted">
        <color rgb="FF000000"/>
      </top>
      <bottom style="medium">
        <color rgb="FF505050"/>
      </bottom>
      <diagonal/>
    </border>
    <border>
      <left/>
      <right style="medium">
        <color rgb="FF505050"/>
      </right>
      <top style="dotted">
        <color rgb="FF000000"/>
      </top>
      <bottom style="medium">
        <color rgb="FF505050"/>
      </bottom>
      <diagonal/>
    </border>
    <border>
      <left style="medium">
        <color rgb="FF505050"/>
      </left>
      <right/>
      <top style="medium">
        <color rgb="FF505050"/>
      </top>
      <bottom/>
      <diagonal/>
    </border>
    <border>
      <left/>
      <right style="medium">
        <color rgb="FF505050"/>
      </right>
      <top style="medium">
        <color rgb="FF505050"/>
      </top>
      <bottom/>
      <diagonal/>
    </border>
    <border>
      <left/>
      <right/>
      <top style="medium">
        <color rgb="FF505050"/>
      </top>
      <bottom/>
      <diagonal/>
    </border>
    <border>
      <left style="medium">
        <color rgb="FF505050"/>
      </left>
      <right style="thin">
        <color rgb="FF505050"/>
      </right>
      <top style="medium">
        <color rgb="FF505050"/>
      </top>
      <bottom/>
      <diagonal/>
    </border>
    <border>
      <left/>
      <right style="medium">
        <color rgb="FF505050"/>
      </right>
      <top style="medium">
        <color rgb="FF505050"/>
      </top>
      <bottom/>
      <diagonal/>
    </border>
    <border>
      <left style="medium">
        <color rgb="FF505050"/>
      </left>
      <right style="thin">
        <color rgb="FF505050"/>
      </right>
      <top style="medium">
        <color rgb="FF505050"/>
      </top>
      <bottom style="medium">
        <color rgb="FF505050"/>
      </bottom>
      <diagonal/>
    </border>
    <border>
      <left/>
      <right style="medium">
        <color rgb="FF505050"/>
      </right>
      <top style="medium">
        <color rgb="FF505050"/>
      </top>
      <bottom style="medium">
        <color rgb="FF505050"/>
      </bottom>
      <diagonal/>
    </border>
    <border>
      <left style="medium">
        <color rgb="FF505050"/>
      </left>
      <right/>
      <top/>
      <bottom style="medium">
        <color rgb="FF505050"/>
      </bottom>
      <diagonal/>
    </border>
    <border>
      <left/>
      <right style="medium">
        <color rgb="FF505050"/>
      </right>
      <top/>
      <bottom style="medium">
        <color rgb="FF505050"/>
      </bottom>
      <diagonal/>
    </border>
    <border>
      <left style="medium">
        <color rgb="FF505050"/>
      </left>
      <right/>
      <top style="medium">
        <color rgb="FFFFFFFF"/>
      </top>
      <bottom style="medium">
        <color rgb="FFFFFFFF"/>
      </bottom>
      <diagonal/>
    </border>
    <border>
      <left style="thin">
        <color rgb="FF505050"/>
      </left>
      <right/>
      <top/>
      <bottom style="medium">
        <color rgb="FF505050"/>
      </bottom>
      <diagonal/>
    </border>
    <border>
      <left style="medium">
        <color rgb="FF505050"/>
      </left>
      <right/>
      <top/>
      <bottom style="medium">
        <color rgb="FF505050"/>
      </bottom>
      <diagonal/>
    </border>
    <border>
      <left style="thin">
        <color rgb="FF000000"/>
      </left>
      <right style="thin">
        <color rgb="FF000000"/>
      </right>
      <top/>
      <bottom style="medium">
        <color rgb="FF505050"/>
      </bottom>
      <diagonal/>
    </border>
    <border>
      <left style="thin">
        <color rgb="FF505050"/>
      </left>
      <right style="thin">
        <color rgb="FF000000"/>
      </right>
      <top/>
      <bottom style="dotted">
        <color rgb="FF505050"/>
      </bottom>
      <diagonal/>
    </border>
    <border>
      <left style="medium">
        <color rgb="FF505050"/>
      </left>
      <right style="thin">
        <color rgb="FF000000"/>
      </right>
      <top style="medium">
        <color rgb="FF505050"/>
      </top>
      <bottom style="dotted">
        <color rgb="FF505050"/>
      </bottom>
      <diagonal/>
    </border>
    <border>
      <left style="medium">
        <color rgb="FF505050"/>
      </left>
      <right style="thin">
        <color rgb="FF505050"/>
      </right>
      <top/>
      <bottom style="medium">
        <color rgb="FF000000"/>
      </bottom>
      <diagonal/>
    </border>
    <border>
      <left/>
      <right style="medium">
        <color rgb="FF505050"/>
      </right>
      <top/>
      <bottom style="medium">
        <color rgb="FF000000"/>
      </bottom>
      <diagonal/>
    </border>
    <border>
      <left/>
      <right style="thin">
        <color rgb="FF000000"/>
      </right>
      <top style="dotted">
        <color rgb="FF505050"/>
      </top>
      <bottom style="dotted">
        <color rgb="FF505050"/>
      </bottom>
      <diagonal/>
    </border>
    <border>
      <left style="medium">
        <color rgb="FF505050"/>
      </left>
      <right style="thin">
        <color rgb="FF000000"/>
      </right>
      <top/>
      <bottom style="dotted">
        <color rgb="FF505050"/>
      </bottom>
      <diagonal/>
    </border>
    <border>
      <left/>
      <right/>
      <top/>
      <bottom style="medium">
        <color rgb="FF000000"/>
      </bottom>
      <diagonal/>
    </border>
    <border>
      <left style="medium">
        <color rgb="FF505050"/>
      </left>
      <right/>
      <top style="medium">
        <color rgb="FF000000"/>
      </top>
      <bottom style="medium">
        <color rgb="FF505050"/>
      </bottom>
      <diagonal/>
    </border>
    <border>
      <left/>
      <right style="thin">
        <color rgb="FF505050"/>
      </right>
      <top style="medium">
        <color rgb="FF505050"/>
      </top>
      <bottom style="dotted">
        <color rgb="FF505050"/>
      </bottom>
      <diagonal/>
    </border>
    <border>
      <left style="medium">
        <color rgb="FF000000"/>
      </left>
      <right style="thin">
        <color rgb="FF505050"/>
      </right>
      <top style="dotted">
        <color rgb="FF505050"/>
      </top>
      <bottom/>
      <diagonal/>
    </border>
    <border>
      <left style="medium">
        <color rgb="FF505050"/>
      </left>
      <right style="thin">
        <color rgb="FF000000"/>
      </right>
      <top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thin">
        <color rgb="FF50505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50505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505050"/>
      </right>
      <top style="medium">
        <color rgb="FF505050"/>
      </top>
      <bottom/>
      <diagonal/>
    </border>
    <border>
      <left/>
      <right/>
      <top style="medium">
        <color rgb="FF505050"/>
      </top>
      <bottom style="dotted">
        <color rgb="FF000000"/>
      </bottom>
      <diagonal/>
    </border>
    <border>
      <left style="medium">
        <color rgb="FF505050"/>
      </left>
      <right/>
      <top style="medium">
        <color rgb="FF505050"/>
      </top>
      <bottom style="medium">
        <color rgb="FF505050"/>
      </bottom>
      <diagonal/>
    </border>
    <border>
      <left/>
      <right/>
      <top style="medium">
        <color rgb="FF505050"/>
      </top>
      <bottom style="medium">
        <color rgb="FF505050"/>
      </bottom>
      <diagonal/>
    </border>
    <border>
      <left style="medium">
        <color rgb="FF000000"/>
      </left>
      <right/>
      <top style="medium">
        <color rgb="FF505050"/>
      </top>
      <bottom style="medium">
        <color rgb="FF505050"/>
      </bottom>
      <diagonal/>
    </border>
    <border>
      <left style="medium">
        <color rgb="FF000000"/>
      </left>
      <right style="medium">
        <color rgb="FF505050"/>
      </right>
      <top style="medium">
        <color rgb="FF505050"/>
      </top>
      <bottom style="medium">
        <color rgb="FF505050"/>
      </bottom>
      <diagonal/>
    </border>
    <border>
      <left style="medium">
        <color rgb="FF505050"/>
      </left>
      <right style="thin">
        <color rgb="FF505050"/>
      </right>
      <top/>
      <bottom style="dotted">
        <color rgb="FF505050"/>
      </bottom>
      <diagonal/>
    </border>
    <border>
      <left/>
      <right style="thin">
        <color rgb="FF505050"/>
      </right>
      <top/>
      <bottom style="dotted">
        <color rgb="FF000000"/>
      </bottom>
      <diagonal/>
    </border>
    <border>
      <left/>
      <right/>
      <top/>
      <bottom style="dotted">
        <color rgb="FF000000"/>
      </bottom>
      <diagonal/>
    </border>
    <border>
      <left style="thin">
        <color rgb="FF505050"/>
      </left>
      <right style="thin">
        <color rgb="FF505050"/>
      </right>
      <top/>
      <bottom/>
      <diagonal/>
    </border>
    <border>
      <left style="thin">
        <color rgb="FF505050"/>
      </left>
      <right/>
      <top/>
      <bottom style="dotted">
        <color rgb="FF000000"/>
      </bottom>
      <diagonal/>
    </border>
    <border>
      <left style="thin">
        <color rgb="FF505050"/>
      </left>
      <right style="thin">
        <color rgb="FF505050"/>
      </right>
      <top/>
      <bottom style="dotted">
        <color rgb="FF000000"/>
      </bottom>
      <diagonal/>
    </border>
    <border>
      <left style="thin">
        <color rgb="FF505050"/>
      </left>
      <right style="thin">
        <color rgb="FF505050"/>
      </right>
      <top style="dotted">
        <color rgb="FF505050"/>
      </top>
      <bottom style="dotted">
        <color rgb="FF505050"/>
      </bottom>
      <diagonal/>
    </border>
    <border>
      <left style="thin">
        <color rgb="FF505050"/>
      </left>
      <right style="thin">
        <color rgb="FF505050"/>
      </right>
      <top style="thin">
        <color rgb="FF505050"/>
      </top>
      <bottom style="dotted">
        <color rgb="FF505050"/>
      </bottom>
      <diagonal/>
    </border>
    <border>
      <left style="thin">
        <color rgb="FF505050"/>
      </left>
      <right style="thin">
        <color rgb="FF505050"/>
      </right>
      <top style="dotted">
        <color rgb="FF505050"/>
      </top>
      <bottom/>
      <diagonal/>
    </border>
    <border>
      <left/>
      <right/>
      <top style="dotted">
        <color rgb="FF505050"/>
      </top>
      <bottom style="dotted">
        <color rgb="FF000000"/>
      </bottom>
      <diagonal/>
    </border>
    <border>
      <left style="thin">
        <color rgb="FF505050"/>
      </left>
      <right style="thin">
        <color rgb="FF505050"/>
      </right>
      <top/>
      <bottom style="medium">
        <color rgb="FF505050"/>
      </bottom>
      <diagonal/>
    </border>
    <border>
      <left style="medium">
        <color rgb="FF505050"/>
      </left>
      <right/>
      <top style="medium">
        <color rgb="FF505050"/>
      </top>
      <bottom style="medium">
        <color rgb="FF505050"/>
      </bottom>
      <diagonal/>
    </border>
    <border>
      <left/>
      <right style="medium">
        <color rgb="FF505050"/>
      </right>
      <top style="medium">
        <color rgb="FF505050"/>
      </top>
      <bottom style="medium">
        <color rgb="FF50505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dotted">
        <color rgb="FF000000"/>
      </bottom>
      <diagonal/>
    </border>
    <border>
      <left style="medium">
        <color rgb="FF000000"/>
      </left>
      <right/>
      <top/>
      <bottom style="dotted">
        <color rgb="FF505050"/>
      </bottom>
      <diagonal/>
    </border>
    <border>
      <left/>
      <right style="medium">
        <color rgb="FF505050"/>
      </right>
      <top style="medium">
        <color rgb="FF505050"/>
      </top>
      <bottom style="dotted">
        <color rgb="FF505050"/>
      </bottom>
      <diagonal/>
    </border>
    <border>
      <left/>
      <right style="thin">
        <color rgb="FF000000"/>
      </right>
      <top/>
      <bottom style="dotted">
        <color rgb="FF505050"/>
      </bottom>
      <diagonal/>
    </border>
    <border>
      <left/>
      <right style="thin">
        <color rgb="FF505050"/>
      </right>
      <top style="dotted">
        <color rgb="FF505050"/>
      </top>
      <bottom style="dotted">
        <color rgb="FF505050"/>
      </bottom>
      <diagonal/>
    </border>
    <border>
      <left style="medium">
        <color rgb="FF505050"/>
      </left>
      <right style="thin">
        <color rgb="FF000000"/>
      </right>
      <top/>
      <bottom style="dotted">
        <color rgb="FF505050"/>
      </bottom>
      <diagonal/>
    </border>
    <border>
      <left style="medium">
        <color rgb="FF000000"/>
      </left>
      <right/>
      <top style="dotted">
        <color rgb="FF505050"/>
      </top>
      <bottom style="dotted">
        <color rgb="FF505050"/>
      </bottom>
      <diagonal/>
    </border>
    <border>
      <left/>
      <right style="medium">
        <color rgb="FF505050"/>
      </right>
      <top style="dotted">
        <color rgb="FF505050"/>
      </top>
      <bottom/>
      <diagonal/>
    </border>
    <border>
      <left style="thin">
        <color rgb="FF505050"/>
      </left>
      <right style="medium">
        <color rgb="FF505050"/>
      </right>
      <top/>
      <bottom style="dotted">
        <color rgb="FF505050"/>
      </bottom>
      <diagonal/>
    </border>
    <border>
      <left style="medium">
        <color rgb="FF505050"/>
      </left>
      <right style="thin">
        <color rgb="FF505050"/>
      </right>
      <top style="dotted">
        <color rgb="FF505050"/>
      </top>
      <bottom/>
      <diagonal/>
    </border>
    <border>
      <left style="medium">
        <color rgb="FF505050"/>
      </left>
      <right/>
      <top style="dotted">
        <color rgb="FF505050"/>
      </top>
      <bottom/>
      <diagonal/>
    </border>
    <border>
      <left style="medium">
        <color rgb="FF000000"/>
      </left>
      <right style="thin">
        <color rgb="FF505050"/>
      </right>
      <top style="dotted">
        <color rgb="FF505050"/>
      </top>
      <bottom/>
      <diagonal/>
    </border>
    <border>
      <left style="thin">
        <color rgb="FF505050"/>
      </left>
      <right style="medium">
        <color rgb="FF505050"/>
      </right>
      <top style="dotted">
        <color rgb="FF505050"/>
      </top>
      <bottom/>
      <diagonal/>
    </border>
    <border>
      <left/>
      <right style="thin">
        <color rgb="FF000000"/>
      </right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505050"/>
      </left>
      <right/>
      <top style="thin">
        <color rgb="FF505050"/>
      </top>
      <bottom/>
      <diagonal/>
    </border>
    <border>
      <left style="thin">
        <color rgb="FF505050"/>
      </left>
      <right/>
      <top style="medium">
        <color rgb="FF505050"/>
      </top>
      <bottom/>
      <diagonal/>
    </border>
    <border>
      <left style="medium">
        <color rgb="FF505050"/>
      </left>
      <right style="medium">
        <color rgb="FF505050"/>
      </right>
      <top style="medium">
        <color rgb="FF505050"/>
      </top>
      <bottom/>
      <diagonal/>
    </border>
    <border>
      <left style="thin">
        <color rgb="FF505050"/>
      </left>
      <right style="thin">
        <color rgb="FF505050"/>
      </right>
      <top style="medium">
        <color rgb="FF505050"/>
      </top>
      <bottom/>
      <diagonal/>
    </border>
    <border>
      <left/>
      <right/>
      <top style="thin">
        <color rgb="FF505050"/>
      </top>
      <bottom/>
      <diagonal/>
    </border>
    <border>
      <left style="thin">
        <color rgb="FF505050"/>
      </left>
      <right style="thin">
        <color rgb="FF505050"/>
      </right>
      <top style="thin">
        <color rgb="FF505050"/>
      </top>
      <bottom/>
      <diagonal/>
    </border>
    <border>
      <left/>
      <right/>
      <top style="medium">
        <color rgb="FF505050"/>
      </top>
      <bottom style="medium">
        <color rgb="FF505050"/>
      </bottom>
      <diagonal/>
    </border>
    <border>
      <left/>
      <right/>
      <top style="medium">
        <color rgb="FF505050"/>
      </top>
      <bottom style="medium">
        <color rgb="FF505050"/>
      </bottom>
      <diagonal/>
    </border>
    <border>
      <left/>
      <right/>
      <top style="medium">
        <color rgb="FF505050"/>
      </top>
      <bottom/>
      <diagonal/>
    </border>
    <border>
      <left/>
      <right style="thin">
        <color rgb="FF505050"/>
      </right>
      <top style="medium">
        <color rgb="FF505050"/>
      </top>
      <bottom style="medium">
        <color rgb="FF505050"/>
      </bottom>
      <diagonal/>
    </border>
    <border>
      <left/>
      <right style="medium">
        <color rgb="FF505050"/>
      </right>
      <top style="medium">
        <color rgb="FF505050"/>
      </top>
      <bottom style="thin">
        <color rgb="FF505050"/>
      </bottom>
      <diagonal/>
    </border>
    <border>
      <left style="medium">
        <color rgb="FF505050"/>
      </left>
      <right/>
      <top style="thin">
        <color rgb="FF505050"/>
      </top>
      <bottom/>
      <diagonal/>
    </border>
    <border>
      <left/>
      <right style="medium">
        <color rgb="FF505050"/>
      </right>
      <top style="thin">
        <color rgb="FF505050"/>
      </top>
      <bottom style="thin">
        <color rgb="FF505050"/>
      </bottom>
      <diagonal/>
    </border>
    <border>
      <left/>
      <right/>
      <top style="medium">
        <color rgb="FF505050"/>
      </top>
      <bottom/>
      <diagonal/>
    </border>
    <border>
      <left/>
      <right style="thin">
        <color rgb="FF505050"/>
      </right>
      <top style="medium">
        <color rgb="FF505050"/>
      </top>
      <bottom/>
      <diagonal/>
    </border>
    <border>
      <left style="thin">
        <color rgb="FF505050"/>
      </left>
      <right/>
      <top style="medium">
        <color rgb="FF505050"/>
      </top>
      <bottom style="medium">
        <color rgb="FF505050"/>
      </bottom>
      <diagonal/>
    </border>
    <border>
      <left style="medium">
        <color rgb="FF505050"/>
      </left>
      <right/>
      <top/>
      <bottom/>
      <diagonal/>
    </border>
    <border>
      <left style="thin">
        <color rgb="FF505050"/>
      </left>
      <right style="thin">
        <color rgb="FF505050"/>
      </right>
      <top style="medium">
        <color rgb="FF505050"/>
      </top>
      <bottom style="medium">
        <color rgb="FF505050"/>
      </bottom>
      <diagonal/>
    </border>
    <border>
      <left style="thin">
        <color rgb="FF505050"/>
      </left>
      <right/>
      <top style="medium">
        <color rgb="FF505050"/>
      </top>
      <bottom style="medium">
        <color rgb="FF505050"/>
      </bottom>
      <diagonal/>
    </border>
    <border>
      <left style="thin">
        <color rgb="FF505050"/>
      </left>
      <right style="thin">
        <color rgb="FF505050"/>
      </right>
      <top style="thin">
        <color rgb="FF505050"/>
      </top>
      <bottom style="thin">
        <color rgb="FF505050"/>
      </bottom>
      <diagonal/>
    </border>
    <border>
      <left style="medium">
        <color rgb="FFFFFFFF"/>
      </left>
      <right/>
      <top style="medium">
        <color rgb="FFFFFFFF"/>
      </top>
      <bottom/>
      <diagonal/>
    </border>
    <border>
      <left/>
      <right/>
      <top style="medium">
        <color rgb="FFFFFFFF"/>
      </top>
      <bottom/>
      <diagonal/>
    </border>
    <border>
      <left/>
      <right style="medium">
        <color rgb="FFFFFFFF"/>
      </right>
      <top style="medium">
        <color rgb="FFFFFFFF"/>
      </top>
      <bottom/>
      <diagonal/>
    </border>
    <border>
      <left/>
      <right/>
      <top style="hair">
        <color theme="0"/>
      </top>
      <bottom style="hair">
        <color theme="0"/>
      </bottom>
      <diagonal/>
    </border>
    <border>
      <left/>
      <right/>
      <top style="hair">
        <color theme="0"/>
      </top>
      <bottom style="medium">
        <color theme="0"/>
      </bottom>
      <diagonal/>
    </border>
    <border>
      <left/>
      <right/>
      <top/>
      <bottom style="hair">
        <color theme="0"/>
      </bottom>
      <diagonal/>
    </border>
    <border>
      <left/>
      <right/>
      <top style="hair">
        <color theme="0"/>
      </top>
      <bottom/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/>
      <diagonal/>
    </border>
    <border>
      <left style="thin">
        <color theme="1"/>
      </left>
      <right/>
      <top style="medium">
        <color theme="1"/>
      </top>
      <bottom/>
      <diagonal/>
    </border>
    <border>
      <left style="thin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 style="hair">
        <color theme="1"/>
      </top>
      <bottom style="hair">
        <color theme="1"/>
      </bottom>
      <diagonal/>
    </border>
    <border>
      <left style="thin">
        <color theme="1"/>
      </left>
      <right style="thin">
        <color theme="1"/>
      </right>
      <top style="hair">
        <color theme="1"/>
      </top>
      <bottom style="hair">
        <color theme="1"/>
      </bottom>
      <diagonal/>
    </border>
    <border>
      <left style="thin">
        <color theme="1"/>
      </left>
      <right/>
      <top style="hair">
        <color theme="1"/>
      </top>
      <bottom style="hair">
        <color theme="1"/>
      </bottom>
      <diagonal/>
    </border>
    <border>
      <left style="thin">
        <color theme="1"/>
      </left>
      <right style="medium">
        <color theme="1"/>
      </right>
      <top style="hair">
        <color theme="1"/>
      </top>
      <bottom style="hair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/>
      <top/>
      <bottom style="medium">
        <color theme="1"/>
      </bottom>
      <diagonal/>
    </border>
    <border>
      <left style="thin">
        <color theme="1"/>
      </left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 style="thin">
        <color rgb="FF505050"/>
      </right>
      <top style="medium">
        <color theme="1"/>
      </top>
      <bottom style="thin">
        <color rgb="FF505050"/>
      </bottom>
      <diagonal/>
    </border>
    <border>
      <left style="thin">
        <color rgb="FF505050"/>
      </left>
      <right style="thin">
        <color rgb="FF505050"/>
      </right>
      <top style="medium">
        <color theme="1"/>
      </top>
      <bottom style="thin">
        <color rgb="FF505050"/>
      </bottom>
      <diagonal/>
    </border>
    <border>
      <left style="thin">
        <color rgb="FF505050"/>
      </left>
      <right style="medium">
        <color theme="1"/>
      </right>
      <top style="medium">
        <color theme="1"/>
      </top>
      <bottom style="thin">
        <color rgb="FF505050"/>
      </bottom>
      <diagonal/>
    </border>
    <border>
      <left style="medium">
        <color theme="1"/>
      </left>
      <right style="thin">
        <color rgb="FF505050"/>
      </right>
      <top style="thin">
        <color rgb="FF505050"/>
      </top>
      <bottom style="thin">
        <color rgb="FF505050"/>
      </bottom>
      <diagonal/>
    </border>
    <border>
      <left style="thin">
        <color rgb="FF505050"/>
      </left>
      <right style="medium">
        <color theme="1"/>
      </right>
      <top style="thin">
        <color rgb="FF505050"/>
      </top>
      <bottom style="thin">
        <color rgb="FF505050"/>
      </bottom>
      <diagonal/>
    </border>
    <border>
      <left style="medium">
        <color theme="1"/>
      </left>
      <right style="thin">
        <color rgb="FF505050"/>
      </right>
      <top style="thin">
        <color rgb="FF505050"/>
      </top>
      <bottom style="medium">
        <color theme="1"/>
      </bottom>
      <diagonal/>
    </border>
    <border>
      <left style="thin">
        <color rgb="FF505050"/>
      </left>
      <right style="thin">
        <color rgb="FF505050"/>
      </right>
      <top style="thin">
        <color rgb="FF505050"/>
      </top>
      <bottom style="medium">
        <color theme="1"/>
      </bottom>
      <diagonal/>
    </border>
    <border>
      <left style="thin">
        <color rgb="FF505050"/>
      </left>
      <right style="medium">
        <color theme="1"/>
      </right>
      <top style="thin">
        <color rgb="FF505050"/>
      </top>
      <bottom style="medium">
        <color theme="1"/>
      </bottom>
      <diagonal/>
    </border>
    <border>
      <left/>
      <right style="thin">
        <color rgb="FF505050"/>
      </right>
      <top style="thin">
        <color rgb="FF505050"/>
      </top>
      <bottom style="thin">
        <color rgb="FF505050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thin">
        <color rgb="FF505050"/>
      </bottom>
      <diagonal/>
    </border>
    <border>
      <left style="medium">
        <color theme="1"/>
      </left>
      <right style="medium">
        <color theme="1"/>
      </right>
      <top style="thin">
        <color rgb="FF505050"/>
      </top>
      <bottom style="thin">
        <color rgb="FF505050"/>
      </bottom>
      <diagonal/>
    </border>
    <border>
      <left style="medium">
        <color theme="1"/>
      </left>
      <right style="medium">
        <color theme="1"/>
      </right>
      <top style="thin">
        <color rgb="FF505050"/>
      </top>
      <bottom style="medium">
        <color theme="1"/>
      </bottom>
      <diagonal/>
    </border>
    <border>
      <left/>
      <right style="thin">
        <color rgb="FF505050"/>
      </right>
      <top style="thin">
        <color rgb="FF505050"/>
      </top>
      <bottom style="medium">
        <color theme="1"/>
      </bottom>
      <diagonal/>
    </border>
    <border>
      <left/>
      <right/>
      <top style="medium">
        <color theme="1"/>
      </top>
      <bottom style="thin">
        <color rgb="FF505050"/>
      </bottom>
      <diagonal/>
    </border>
    <border>
      <left/>
      <right/>
      <top style="thin">
        <color rgb="FF505050"/>
      </top>
      <bottom style="thin">
        <color rgb="FF505050"/>
      </bottom>
      <diagonal/>
    </border>
    <border>
      <left/>
      <right/>
      <top style="thin">
        <color rgb="FF505050"/>
      </top>
      <bottom style="medium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rgb="FF505050"/>
      </bottom>
      <diagonal/>
    </border>
    <border>
      <left style="medium">
        <color theme="1"/>
      </left>
      <right/>
      <top style="thin">
        <color rgb="FF505050"/>
      </top>
      <bottom style="thin">
        <color rgb="FF505050"/>
      </bottom>
      <diagonal/>
    </border>
    <border>
      <left style="medium">
        <color theme="1"/>
      </left>
      <right/>
      <top style="thin">
        <color rgb="FF505050"/>
      </top>
      <bottom style="medium">
        <color theme="1"/>
      </bottom>
      <diagonal/>
    </border>
    <border>
      <left style="medium">
        <color theme="1"/>
      </left>
      <right style="thin">
        <color theme="0"/>
      </right>
      <top style="hair">
        <color theme="0"/>
      </top>
      <bottom style="hair">
        <color theme="0"/>
      </bottom>
      <diagonal/>
    </border>
    <border>
      <left/>
      <right style="medium">
        <color theme="1"/>
      </right>
      <top style="hair">
        <color theme="0"/>
      </top>
      <bottom style="hair">
        <color theme="0"/>
      </bottom>
      <diagonal/>
    </border>
    <border>
      <left style="medium">
        <color theme="1"/>
      </left>
      <right style="thin">
        <color theme="0"/>
      </right>
      <top style="hair">
        <color theme="0"/>
      </top>
      <bottom style="medium">
        <color theme="1"/>
      </bottom>
      <diagonal/>
    </border>
    <border>
      <left/>
      <right style="medium">
        <color theme="1"/>
      </right>
      <top style="hair">
        <color theme="0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hair">
        <color theme="0"/>
      </top>
      <bottom style="hair">
        <color theme="0"/>
      </bottom>
      <diagonal/>
    </border>
    <border>
      <left style="medium">
        <color theme="1"/>
      </left>
      <right style="thin">
        <color theme="1"/>
      </right>
      <top style="hair">
        <color theme="0"/>
      </top>
      <bottom style="medium">
        <color theme="1"/>
      </bottom>
      <diagonal/>
    </border>
    <border>
      <left/>
      <right style="thin">
        <color theme="1"/>
      </right>
      <top style="hair">
        <color theme="0"/>
      </top>
      <bottom style="hair">
        <color theme="0"/>
      </bottom>
      <diagonal/>
    </border>
    <border>
      <left/>
      <right style="thin">
        <color theme="1"/>
      </right>
      <top style="hair">
        <color theme="0"/>
      </top>
      <bottom style="medium">
        <color theme="1"/>
      </bottom>
      <diagonal/>
    </border>
    <border>
      <left/>
      <right/>
      <top style="hair">
        <color theme="0"/>
      </top>
      <bottom style="medium">
        <color theme="1"/>
      </bottom>
      <diagonal/>
    </border>
    <border>
      <left style="medium">
        <color theme="1"/>
      </left>
      <right style="thin">
        <color rgb="FF505050"/>
      </right>
      <top/>
      <bottom/>
      <diagonal/>
    </border>
    <border>
      <left style="thin">
        <color theme="1"/>
      </left>
      <right style="thin">
        <color theme="1"/>
      </right>
      <top style="hair">
        <color theme="0"/>
      </top>
      <bottom style="hair">
        <color theme="0"/>
      </bottom>
      <diagonal/>
    </border>
    <border>
      <left style="thin">
        <color theme="1"/>
      </left>
      <right style="thin">
        <color theme="1"/>
      </right>
      <top style="hair">
        <color theme="0"/>
      </top>
      <bottom style="thin">
        <color theme="1"/>
      </bottom>
      <diagonal/>
    </border>
    <border>
      <left style="medium">
        <color theme="1"/>
      </left>
      <right/>
      <top style="hair">
        <color theme="0"/>
      </top>
      <bottom style="hair">
        <color theme="0"/>
      </bottom>
      <diagonal/>
    </border>
    <border>
      <left style="medium">
        <color theme="1"/>
      </left>
      <right/>
      <top style="hair">
        <color theme="0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hair">
        <color theme="0"/>
      </top>
      <bottom style="hair">
        <color theme="0"/>
      </bottom>
      <diagonal/>
    </border>
    <border>
      <left style="thin">
        <color theme="1"/>
      </left>
      <right style="medium">
        <color theme="1"/>
      </right>
      <top style="hair">
        <color theme="0"/>
      </top>
      <bottom style="medium">
        <color theme="1"/>
      </bottom>
      <diagonal/>
    </border>
    <border>
      <left style="thin">
        <color theme="1"/>
      </left>
      <right style="thin">
        <color theme="1"/>
      </right>
      <top style="hair">
        <color theme="0"/>
      </top>
      <bottom style="medium">
        <color theme="1"/>
      </bottom>
      <diagonal/>
    </border>
    <border>
      <left/>
      <right style="thin">
        <color theme="1"/>
      </right>
      <top style="hair">
        <color theme="0"/>
      </top>
      <bottom style="medium">
        <color theme="0"/>
      </bottom>
      <diagonal/>
    </border>
    <border>
      <left/>
      <right style="thin">
        <color theme="1"/>
      </right>
      <top/>
      <bottom style="hair">
        <color theme="0"/>
      </bottom>
      <diagonal/>
    </border>
    <border>
      <left/>
      <right style="thin">
        <color theme="1"/>
      </right>
      <top style="hair">
        <color theme="0"/>
      </top>
      <bottom/>
      <diagonal/>
    </border>
    <border>
      <left style="thin">
        <color theme="1"/>
      </left>
      <right style="thin">
        <color theme="1"/>
      </right>
      <top/>
      <bottom style="hair">
        <color theme="0"/>
      </bottom>
      <diagonal/>
    </border>
    <border>
      <left style="thin">
        <color theme="1"/>
      </left>
      <right style="thin">
        <color theme="1"/>
      </right>
      <top style="hair">
        <color theme="0"/>
      </top>
      <bottom/>
      <diagonal/>
    </border>
    <border>
      <left style="medium">
        <color theme="1"/>
      </left>
      <right style="thin">
        <color theme="1"/>
      </right>
      <top/>
      <bottom style="hair">
        <color theme="0"/>
      </bottom>
      <diagonal/>
    </border>
    <border>
      <left style="medium">
        <color theme="1"/>
      </left>
      <right/>
      <top/>
      <bottom style="hair">
        <color theme="0"/>
      </bottom>
      <diagonal/>
    </border>
    <border>
      <left style="thin">
        <color theme="1"/>
      </left>
      <right style="medium">
        <color theme="1"/>
      </right>
      <top/>
      <bottom style="hair">
        <color theme="0"/>
      </bottom>
      <diagonal/>
    </border>
    <border>
      <left/>
      <right style="medium">
        <color theme="1"/>
      </right>
      <top/>
      <bottom style="hair">
        <color theme="0"/>
      </bottom>
      <diagonal/>
    </border>
    <border>
      <left style="medium">
        <color theme="1"/>
      </left>
      <right style="thin">
        <color theme="0"/>
      </right>
      <top/>
      <bottom style="hair">
        <color theme="0"/>
      </bottom>
      <diagonal/>
    </border>
    <border>
      <left style="medium">
        <color theme="1"/>
      </left>
      <right style="thin">
        <color theme="0"/>
      </right>
      <top style="medium">
        <color theme="1"/>
      </top>
      <bottom style="thin">
        <color theme="0"/>
      </bottom>
      <diagonal/>
    </border>
    <border>
      <left/>
      <right style="thin">
        <color theme="0"/>
      </right>
      <top style="medium">
        <color theme="1"/>
      </top>
      <bottom style="thin">
        <color theme="0"/>
      </bottom>
      <diagonal/>
    </border>
    <border>
      <left/>
      <right/>
      <top style="medium">
        <color theme="1"/>
      </top>
      <bottom style="thin">
        <color theme="0"/>
      </bottom>
      <diagonal/>
    </border>
    <border>
      <left style="medium">
        <color theme="0"/>
      </left>
      <right style="thin">
        <color theme="0"/>
      </right>
      <top style="medium">
        <color theme="1"/>
      </top>
      <bottom style="thin">
        <color theme="0"/>
      </bottom>
      <diagonal/>
    </border>
    <border>
      <left/>
      <right style="medium">
        <color theme="0"/>
      </right>
      <top style="medium">
        <color theme="1"/>
      </top>
      <bottom style="thin">
        <color theme="0"/>
      </bottom>
      <diagonal/>
    </border>
    <border>
      <left style="medium">
        <color theme="0"/>
      </left>
      <right/>
      <top style="medium">
        <color theme="1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medium">
        <color theme="1"/>
      </top>
      <bottom style="thin">
        <color theme="0"/>
      </bottom>
      <diagonal/>
    </border>
    <border>
      <left/>
      <right style="medium">
        <color theme="1"/>
      </right>
      <top style="medium">
        <color theme="1"/>
      </top>
      <bottom style="thin">
        <color theme="0"/>
      </bottom>
      <diagonal/>
    </border>
    <border>
      <left style="thin">
        <color rgb="FF505050"/>
      </left>
      <right/>
      <top style="medium">
        <color theme="1"/>
      </top>
      <bottom style="thin">
        <color rgb="FF505050"/>
      </bottom>
      <diagonal/>
    </border>
    <border>
      <left style="thin">
        <color rgb="FF505050"/>
      </left>
      <right/>
      <top style="thin">
        <color rgb="FF505050"/>
      </top>
      <bottom style="thin">
        <color rgb="FF505050"/>
      </bottom>
      <diagonal/>
    </border>
    <border>
      <left style="thin">
        <color rgb="FF505050"/>
      </left>
      <right style="medium">
        <color theme="1"/>
      </right>
      <top/>
      <bottom style="thin">
        <color rgb="FF505050"/>
      </bottom>
      <diagonal/>
    </border>
    <border>
      <left/>
      <right/>
      <top style="hair">
        <color theme="1"/>
      </top>
      <bottom style="hair">
        <color theme="1"/>
      </bottom>
      <diagonal/>
    </border>
    <border>
      <left/>
      <right/>
      <top/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thin">
        <color theme="0"/>
      </right>
      <top/>
      <bottom style="hair">
        <color theme="0"/>
      </bottom>
      <diagonal/>
    </border>
    <border>
      <left/>
      <right style="thin">
        <color theme="0"/>
      </right>
      <top style="hair">
        <color theme="0"/>
      </top>
      <bottom style="hair">
        <color theme="0"/>
      </bottom>
      <diagonal/>
    </border>
    <border>
      <left/>
      <right style="thin">
        <color theme="0"/>
      </right>
      <top style="hair">
        <color theme="0"/>
      </top>
      <bottom style="medium">
        <color theme="0"/>
      </bottom>
      <diagonal/>
    </border>
    <border>
      <left/>
      <right style="thin">
        <color theme="0"/>
      </right>
      <top style="hair">
        <color theme="0"/>
      </top>
      <bottom style="medium">
        <color theme="1"/>
      </bottom>
      <diagonal/>
    </border>
    <border>
      <left/>
      <right style="medium">
        <color theme="1"/>
      </right>
      <top style="hair">
        <color theme="1"/>
      </top>
      <bottom style="hair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0"/>
      </left>
      <right style="thin">
        <color theme="1"/>
      </right>
      <top/>
      <bottom style="hair">
        <color theme="0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0"/>
      </bottom>
      <diagonal/>
    </border>
    <border>
      <left/>
      <right/>
      <top style="thin">
        <color rgb="FF505050"/>
      </top>
      <bottom style="medium">
        <color theme="0"/>
      </bottom>
      <diagonal/>
    </border>
    <border>
      <left style="medium">
        <color theme="1"/>
      </left>
      <right/>
      <top style="medium">
        <color theme="1"/>
      </top>
      <bottom style="medium">
        <color theme="0"/>
      </bottom>
      <diagonal/>
    </border>
    <border>
      <left style="medium">
        <color theme="1"/>
      </left>
      <right/>
      <top style="thin">
        <color rgb="FF505050"/>
      </top>
      <bottom style="medium">
        <color theme="0"/>
      </bottom>
      <diagonal/>
    </border>
    <border>
      <left style="medium">
        <color theme="1"/>
      </left>
      <right style="medium">
        <color theme="1"/>
      </right>
      <top style="thin">
        <color rgb="FF505050"/>
      </top>
      <bottom style="medium">
        <color theme="0"/>
      </bottom>
      <diagonal/>
    </border>
    <border>
      <left/>
      <right/>
      <top style="medium">
        <color theme="1"/>
      </top>
      <bottom style="medium">
        <color theme="0"/>
      </bottom>
      <diagonal/>
    </border>
    <border>
      <left style="medium">
        <color theme="1"/>
      </left>
      <right style="medium">
        <color theme="1"/>
      </right>
      <top/>
      <bottom style="thin">
        <color rgb="FF505050"/>
      </bottom>
      <diagonal/>
    </border>
    <border>
      <left style="medium">
        <color theme="1"/>
      </left>
      <right/>
      <top/>
      <bottom style="thin">
        <color rgb="FF505050"/>
      </bottom>
      <diagonal/>
    </border>
    <border>
      <left style="thin">
        <color theme="1"/>
      </left>
      <right style="thick">
        <color theme="1"/>
      </right>
      <top style="medium">
        <color theme="1"/>
      </top>
      <bottom/>
      <diagonal/>
    </border>
    <border>
      <left style="thin">
        <color theme="1"/>
      </left>
      <right style="thick">
        <color theme="1"/>
      </right>
      <top style="hair">
        <color theme="1"/>
      </top>
      <bottom style="hair">
        <color theme="1"/>
      </bottom>
      <diagonal/>
    </border>
    <border>
      <left/>
      <right style="thick">
        <color theme="1"/>
      </right>
      <top/>
      <bottom/>
      <diagonal/>
    </border>
    <border>
      <left/>
      <right style="thin">
        <color theme="1"/>
      </right>
      <top style="medium">
        <color theme="1"/>
      </top>
      <bottom/>
      <diagonal/>
    </border>
    <border>
      <left/>
      <right style="thin">
        <color theme="1"/>
      </right>
      <top style="hair">
        <color theme="1"/>
      </top>
      <bottom style="hair">
        <color theme="1"/>
      </bottom>
      <diagonal/>
    </border>
    <border>
      <left/>
      <right style="thick">
        <color theme="1"/>
      </right>
      <top/>
      <bottom style="hair">
        <color theme="0"/>
      </bottom>
      <diagonal/>
    </border>
    <border>
      <left/>
      <right style="thick">
        <color theme="1"/>
      </right>
      <top style="hair">
        <color theme="0"/>
      </top>
      <bottom style="hair">
        <color theme="0"/>
      </bottom>
      <diagonal/>
    </border>
    <border>
      <left/>
      <right style="thick">
        <color theme="1"/>
      </right>
      <top style="hair">
        <color theme="0"/>
      </top>
      <bottom style="medium">
        <color theme="1"/>
      </bottom>
      <diagonal/>
    </border>
    <border>
      <left/>
      <right style="thick">
        <color theme="1"/>
      </right>
      <top style="hair">
        <color theme="0"/>
      </top>
      <bottom style="medium">
        <color theme="0"/>
      </bottom>
      <diagonal/>
    </border>
    <border>
      <left/>
      <right style="thick">
        <color theme="1"/>
      </right>
      <top style="medium">
        <color theme="1"/>
      </top>
      <bottom/>
      <diagonal/>
    </border>
    <border>
      <left/>
      <right style="thick">
        <color theme="1"/>
      </right>
      <top style="hair">
        <color theme="0"/>
      </top>
      <bottom/>
      <diagonal/>
    </border>
    <border>
      <left style="thick">
        <color theme="0"/>
      </left>
      <right/>
      <top style="thick">
        <color theme="0"/>
      </top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/>
      <top style="thick">
        <color theme="0"/>
      </top>
      <bottom style="thick">
        <color theme="0"/>
      </bottom>
      <diagonal/>
    </border>
    <border>
      <left style="medium">
        <color theme="1"/>
      </left>
      <right style="thin">
        <color theme="1"/>
      </right>
      <top/>
      <bottom style="thick">
        <color theme="1"/>
      </bottom>
      <diagonal/>
    </border>
    <border>
      <left style="thin">
        <color theme="1"/>
      </left>
      <right style="thin">
        <color theme="1"/>
      </right>
      <top/>
      <bottom style="thick">
        <color theme="1"/>
      </bottom>
      <diagonal/>
    </border>
    <border>
      <left style="thin">
        <color theme="1"/>
      </left>
      <right style="thick">
        <color theme="1"/>
      </right>
      <top/>
      <bottom style="thick">
        <color theme="1"/>
      </bottom>
      <diagonal/>
    </border>
    <border>
      <left/>
      <right style="thin">
        <color theme="1"/>
      </right>
      <top/>
      <bottom style="thick">
        <color theme="1"/>
      </bottom>
      <diagonal/>
    </border>
    <border>
      <left/>
      <right/>
      <top/>
      <bottom style="thick">
        <color theme="1"/>
      </bottom>
      <diagonal/>
    </border>
    <border>
      <left/>
      <right style="thin">
        <color theme="1"/>
      </right>
      <top style="medium">
        <color theme="1"/>
      </top>
      <bottom style="thick">
        <color theme="1"/>
      </bottom>
      <diagonal/>
    </border>
    <border>
      <left/>
      <right style="dotted">
        <color theme="0"/>
      </right>
      <top/>
      <bottom style="hair">
        <color theme="0"/>
      </bottom>
      <diagonal/>
    </border>
    <border>
      <left/>
      <right style="dotted">
        <color theme="0"/>
      </right>
      <top style="hair">
        <color theme="0"/>
      </top>
      <bottom style="hair">
        <color theme="0"/>
      </bottom>
      <diagonal/>
    </border>
    <border>
      <left/>
      <right style="dotted">
        <color theme="0"/>
      </right>
      <top style="hair">
        <color theme="0"/>
      </top>
      <bottom style="medium">
        <color theme="1"/>
      </bottom>
      <diagonal/>
    </border>
    <border>
      <left style="dotted">
        <color theme="0"/>
      </left>
      <right style="dotted">
        <color theme="0"/>
      </right>
      <top/>
      <bottom style="hair">
        <color theme="0"/>
      </bottom>
      <diagonal/>
    </border>
    <border>
      <left style="dotted">
        <color theme="0"/>
      </left>
      <right style="dotted">
        <color theme="0"/>
      </right>
      <top style="hair">
        <color theme="0"/>
      </top>
      <bottom style="hair">
        <color theme="0"/>
      </bottom>
      <diagonal/>
    </border>
    <border>
      <left style="dotted">
        <color theme="0"/>
      </left>
      <right style="dotted">
        <color theme="0"/>
      </right>
      <top style="hair">
        <color theme="0"/>
      </top>
      <bottom/>
      <diagonal/>
    </border>
    <border>
      <left style="dotted">
        <color theme="0"/>
      </left>
      <right style="dotted">
        <color theme="0"/>
      </right>
      <top style="hair">
        <color theme="0"/>
      </top>
      <bottom style="medium">
        <color theme="1"/>
      </bottom>
      <diagonal/>
    </border>
    <border>
      <left/>
      <right style="dotted">
        <color theme="0"/>
      </right>
      <top style="hair">
        <color theme="0"/>
      </top>
      <bottom/>
      <diagonal/>
    </border>
    <border>
      <left/>
      <right style="dotted">
        <color theme="0"/>
      </right>
      <top style="hair">
        <color theme="0"/>
      </top>
      <bottom style="medium">
        <color theme="0"/>
      </bottom>
      <diagonal/>
    </border>
    <border>
      <left style="dotted">
        <color theme="0"/>
      </left>
      <right style="dotted">
        <color theme="0"/>
      </right>
      <top style="hair">
        <color theme="0"/>
      </top>
      <bottom style="thin">
        <color theme="1"/>
      </bottom>
      <diagonal/>
    </border>
    <border>
      <left style="thin">
        <color rgb="FF505050"/>
      </left>
      <right/>
      <top/>
      <bottom style="thin">
        <color rgb="FF505050"/>
      </bottom>
      <diagonal/>
    </border>
    <border>
      <left style="medium">
        <color rgb="FF505050"/>
      </left>
      <right style="medium">
        <color rgb="FF505050"/>
      </right>
      <top/>
      <bottom style="medium">
        <color rgb="FF505050"/>
      </bottom>
      <diagonal/>
    </border>
    <border>
      <left/>
      <right style="medium">
        <color theme="1"/>
      </right>
      <top style="thin">
        <color rgb="FF505050"/>
      </top>
      <bottom style="thin">
        <color rgb="FF505050"/>
      </bottom>
      <diagonal/>
    </border>
    <border>
      <left/>
      <right style="medium">
        <color theme="1"/>
      </right>
      <top style="thin">
        <color rgb="FF505050"/>
      </top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dotted">
        <color theme="0"/>
      </right>
      <top style="hair">
        <color theme="0"/>
      </top>
      <bottom style="hair">
        <color theme="0"/>
      </bottom>
      <diagonal/>
    </border>
    <border>
      <left style="hair">
        <color theme="0"/>
      </left>
      <right style="hair">
        <color theme="0"/>
      </right>
      <top style="hair">
        <color theme="0"/>
      </top>
      <bottom style="hair">
        <color theme="0"/>
      </bottom>
      <diagonal/>
    </border>
    <border>
      <left style="thin">
        <color theme="1"/>
      </left>
      <right style="hair">
        <color theme="0"/>
      </right>
      <top style="hair">
        <color theme="0"/>
      </top>
      <bottom style="hair">
        <color theme="0"/>
      </bottom>
      <diagonal/>
    </border>
    <border>
      <left style="medium">
        <color theme="0"/>
      </left>
      <right style="thin">
        <color theme="0"/>
      </right>
      <top style="hair">
        <color theme="0"/>
      </top>
      <bottom style="hair">
        <color theme="0"/>
      </bottom>
      <diagonal/>
    </border>
    <border>
      <left style="hair">
        <color theme="0"/>
      </left>
      <right style="thin">
        <color theme="0"/>
      </right>
      <top style="hair">
        <color theme="0"/>
      </top>
      <bottom style="hair">
        <color theme="0"/>
      </bottom>
      <diagonal/>
    </border>
    <border>
      <left style="thick">
        <color theme="1"/>
      </left>
      <right style="dotted">
        <color theme="0"/>
      </right>
      <top style="hair">
        <color theme="0"/>
      </top>
      <bottom style="hair">
        <color theme="0"/>
      </bottom>
      <diagonal/>
    </border>
    <border>
      <left style="hair">
        <color theme="0"/>
      </left>
      <right style="thick">
        <color theme="1"/>
      </right>
      <top style="hair">
        <color theme="0"/>
      </top>
      <bottom style="hair">
        <color theme="0"/>
      </bottom>
      <diagonal/>
    </border>
    <border>
      <left style="medium">
        <color theme="0"/>
      </left>
      <right style="dotted">
        <color theme="0"/>
      </right>
      <top style="hair">
        <color theme="0"/>
      </top>
      <bottom style="hair">
        <color theme="0"/>
      </bottom>
      <diagonal/>
    </border>
    <border>
      <left style="thin">
        <color theme="1"/>
      </left>
      <right style="dotted">
        <color theme="0"/>
      </right>
      <top style="hair">
        <color theme="0"/>
      </top>
      <bottom style="hair">
        <color theme="0"/>
      </bottom>
      <diagonal/>
    </border>
    <border>
      <left style="medium">
        <color theme="1"/>
      </left>
      <right/>
      <top style="hair">
        <color theme="1"/>
      </top>
      <bottom style="hair">
        <color theme="1"/>
      </bottom>
      <diagonal/>
    </border>
    <border>
      <left style="medium">
        <color theme="1"/>
      </left>
      <right/>
      <top/>
      <bottom style="thick">
        <color theme="1"/>
      </bottom>
      <diagonal/>
    </border>
    <border>
      <left/>
      <right style="medium">
        <color theme="1"/>
      </right>
      <top/>
      <bottom style="thin">
        <color rgb="FF505050"/>
      </bottom>
      <diagonal/>
    </border>
    <border>
      <left style="medium">
        <color theme="1"/>
      </left>
      <right style="dotted">
        <color theme="0"/>
      </right>
      <top/>
      <bottom style="hair">
        <color theme="0"/>
      </bottom>
      <diagonal/>
    </border>
    <border>
      <left style="hair">
        <color theme="0"/>
      </left>
      <right style="hair">
        <color theme="0"/>
      </right>
      <top/>
      <bottom style="hair">
        <color theme="0"/>
      </bottom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 style="thick">
        <color theme="1"/>
      </right>
      <top/>
      <bottom/>
      <diagonal/>
    </border>
    <border>
      <left style="thin">
        <color theme="1"/>
      </left>
      <right/>
      <top/>
      <bottom/>
      <diagonal/>
    </border>
    <border>
      <left style="medium">
        <color theme="1"/>
      </left>
      <right style="medium">
        <color theme="1"/>
      </right>
      <top style="thin">
        <color rgb="FF505050"/>
      </top>
      <bottom/>
      <diagonal/>
    </border>
    <border>
      <left style="thick">
        <color theme="1"/>
      </left>
      <right/>
      <top/>
      <bottom style="medium">
        <color rgb="FF000000"/>
      </bottom>
      <diagonal/>
    </border>
    <border>
      <left style="thick">
        <color theme="1"/>
      </left>
      <right/>
      <top style="thin">
        <color rgb="FF505050"/>
      </top>
      <bottom/>
      <diagonal/>
    </border>
    <border>
      <left/>
      <right style="medium">
        <color rgb="FF505050"/>
      </right>
      <top style="thin">
        <color rgb="FF505050"/>
      </top>
      <bottom/>
      <diagonal/>
    </border>
    <border>
      <left/>
      <right style="thick">
        <color rgb="FF505050"/>
      </right>
      <top/>
      <bottom/>
      <diagonal/>
    </border>
    <border>
      <left/>
      <right/>
      <top/>
      <bottom style="thick">
        <color rgb="FF505050"/>
      </bottom>
      <diagonal/>
    </border>
    <border>
      <left/>
      <right style="thick">
        <color rgb="FF505050"/>
      </right>
      <top/>
      <bottom style="thick">
        <color rgb="FF505050"/>
      </bottom>
      <diagonal/>
    </border>
    <border>
      <left style="thick">
        <color rgb="FF505050"/>
      </left>
      <right/>
      <top/>
      <bottom/>
      <diagonal/>
    </border>
    <border>
      <left style="thick">
        <color rgb="FF505050"/>
      </left>
      <right/>
      <top/>
      <bottom style="thick">
        <color rgb="FF505050"/>
      </bottom>
      <diagonal/>
    </border>
    <border>
      <left style="dotted">
        <color rgb="FFFFFFFF"/>
      </left>
      <right style="dotted">
        <color rgb="FFFFFFFF"/>
      </right>
      <top style="hair">
        <color rgb="FFFFFFFF"/>
      </top>
      <bottom style="hair">
        <color rgb="FFFFFFFF"/>
      </bottom>
      <diagonal/>
    </border>
    <border>
      <left style="medium">
        <color theme="1"/>
      </left>
      <right style="medium">
        <color theme="1"/>
      </right>
      <top/>
      <bottom/>
      <diagonal/>
    </border>
  </borders>
  <cellStyleXfs count="2">
    <xf numFmtId="0" fontId="0" fillId="0" borderId="0"/>
    <xf numFmtId="0" fontId="22" fillId="0" borderId="0" applyNumberFormat="0" applyFill="0" applyBorder="0" applyAlignment="0" applyProtection="0"/>
  </cellStyleXfs>
  <cellXfs count="1323">
    <xf numFmtId="0" fontId="0" fillId="0" borderId="0" xfId="0"/>
    <xf numFmtId="0" fontId="1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168" fontId="2" fillId="3" borderId="10" xfId="0" applyNumberFormat="1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2" fillId="3" borderId="12" xfId="0" applyFont="1" applyFill="1" applyBorder="1" applyAlignment="1">
      <alignment horizontal="center" vertical="center"/>
    </xf>
    <xf numFmtId="14" fontId="2" fillId="3" borderId="13" xfId="0" applyNumberFormat="1" applyFont="1" applyFill="1" applyBorder="1" applyAlignment="1">
      <alignment horizontal="center" vertical="center"/>
    </xf>
    <xf numFmtId="1" fontId="2" fillId="3" borderId="14" xfId="0" applyNumberFormat="1" applyFont="1" applyFill="1" applyBorder="1" applyAlignment="1">
      <alignment horizontal="center" vertical="center"/>
    </xf>
    <xf numFmtId="0" fontId="3" fillId="0" borderId="0" xfId="0" applyFont="1"/>
    <xf numFmtId="165" fontId="2" fillId="0" borderId="15" xfId="0" applyNumberFormat="1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166" fontId="2" fillId="0" borderId="16" xfId="0" applyNumberFormat="1" applyFont="1" applyBorder="1" applyAlignment="1">
      <alignment horizontal="center" vertical="center" wrapText="1"/>
    </xf>
    <xf numFmtId="169" fontId="0" fillId="0" borderId="17" xfId="0" applyNumberForma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170" fontId="0" fillId="0" borderId="20" xfId="0" applyNumberFormat="1" applyBorder="1" applyAlignment="1">
      <alignment horizontal="center" vertical="center"/>
    </xf>
    <xf numFmtId="165" fontId="2" fillId="3" borderId="21" xfId="0" applyNumberFormat="1" applyFont="1" applyFill="1" applyBorder="1" applyAlignment="1">
      <alignment horizontal="center" vertical="center"/>
    </xf>
    <xf numFmtId="166" fontId="2" fillId="3" borderId="22" xfId="0" applyNumberFormat="1" applyFont="1" applyFill="1" applyBorder="1" applyAlignment="1">
      <alignment horizontal="center" vertical="center" wrapText="1"/>
    </xf>
    <xf numFmtId="169" fontId="0" fillId="3" borderId="23" xfId="0" applyNumberFormat="1" applyFill="1" applyBorder="1" applyAlignment="1">
      <alignment horizontal="center" vertical="center"/>
    </xf>
    <xf numFmtId="0" fontId="0" fillId="3" borderId="24" xfId="0" applyFill="1" applyBorder="1" applyAlignment="1">
      <alignment horizontal="center" vertical="center"/>
    </xf>
    <xf numFmtId="0" fontId="0" fillId="3" borderId="25" xfId="0" applyFill="1" applyBorder="1" applyAlignment="1">
      <alignment horizontal="center" vertical="center"/>
    </xf>
    <xf numFmtId="170" fontId="0" fillId="3" borderId="26" xfId="0" applyNumberFormat="1" applyFill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170" fontId="0" fillId="0" borderId="29" xfId="0" applyNumberFormat="1" applyBorder="1" applyAlignment="1">
      <alignment horizontal="center" vertical="center"/>
    </xf>
    <xf numFmtId="0" fontId="0" fillId="0" borderId="0" xfId="0" applyAlignment="1">
      <alignment horizontal="center" vertical="center"/>
    </xf>
    <xf numFmtId="166" fontId="0" fillId="3" borderId="4" xfId="0" applyNumberFormat="1" applyFill="1" applyBorder="1" applyAlignment="1">
      <alignment horizontal="center" vertical="center"/>
    </xf>
    <xf numFmtId="170" fontId="0" fillId="0" borderId="0" xfId="0" applyNumberFormat="1" applyAlignment="1">
      <alignment horizontal="center" vertical="center"/>
    </xf>
    <xf numFmtId="168" fontId="0" fillId="0" borderId="30" xfId="0" applyNumberFormat="1" applyBorder="1" applyAlignment="1">
      <alignment horizontal="center" vertical="center"/>
    </xf>
    <xf numFmtId="166" fontId="0" fillId="3" borderId="31" xfId="0" applyNumberFormat="1" applyFill="1" applyBorder="1" applyAlignment="1">
      <alignment horizontal="center" vertical="center"/>
    </xf>
    <xf numFmtId="168" fontId="0" fillId="0" borderId="32" xfId="0" applyNumberFormat="1" applyBorder="1" applyAlignment="1">
      <alignment horizontal="center" vertical="center"/>
    </xf>
    <xf numFmtId="168" fontId="0" fillId="0" borderId="0" xfId="0" applyNumberFormat="1" applyAlignment="1">
      <alignment horizontal="center" vertical="center"/>
    </xf>
    <xf numFmtId="166" fontId="0" fillId="0" borderId="0" xfId="0" applyNumberForma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/>
    </xf>
    <xf numFmtId="164" fontId="0" fillId="0" borderId="0" xfId="0" applyNumberFormat="1"/>
    <xf numFmtId="0" fontId="6" fillId="0" borderId="0" xfId="0" applyFont="1"/>
    <xf numFmtId="0" fontId="6" fillId="0" borderId="0" xfId="0" applyFont="1" applyAlignment="1">
      <alignment horizontal="center" vertical="center"/>
    </xf>
    <xf numFmtId="0" fontId="7" fillId="7" borderId="41" xfId="0" applyFont="1" applyFill="1" applyBorder="1" applyAlignment="1">
      <alignment horizontal="center" vertical="center"/>
    </xf>
    <xf numFmtId="0" fontId="7" fillId="7" borderId="35" xfId="0" applyFont="1" applyFill="1" applyBorder="1" applyAlignment="1">
      <alignment horizontal="center" vertical="center"/>
    </xf>
    <xf numFmtId="0" fontId="7" fillId="7" borderId="42" xfId="0" applyFont="1" applyFill="1" applyBorder="1" applyAlignment="1">
      <alignment horizontal="center" vertical="center"/>
    </xf>
    <xf numFmtId="0" fontId="7" fillId="7" borderId="43" xfId="0" applyFont="1" applyFill="1" applyBorder="1" applyAlignment="1">
      <alignment horizontal="center" vertical="center"/>
    </xf>
    <xf numFmtId="0" fontId="7" fillId="7" borderId="44" xfId="0" applyFont="1" applyFill="1" applyBorder="1" applyAlignment="1">
      <alignment horizontal="center" vertical="center"/>
    </xf>
    <xf numFmtId="0" fontId="7" fillId="7" borderId="45" xfId="0" applyFont="1" applyFill="1" applyBorder="1" applyAlignment="1">
      <alignment horizontal="center" vertical="center"/>
    </xf>
    <xf numFmtId="172" fontId="7" fillId="7" borderId="46" xfId="0" applyNumberFormat="1" applyFont="1" applyFill="1" applyBorder="1" applyAlignment="1">
      <alignment horizontal="center" vertical="center"/>
    </xf>
    <xf numFmtId="172" fontId="7" fillId="7" borderId="47" xfId="0" applyNumberFormat="1" applyFont="1" applyFill="1" applyBorder="1" applyAlignment="1">
      <alignment horizontal="center" vertical="center"/>
    </xf>
    <xf numFmtId="0" fontId="7" fillId="7" borderId="48" xfId="0" applyFont="1" applyFill="1" applyBorder="1" applyAlignment="1">
      <alignment horizontal="center" vertical="center"/>
    </xf>
    <xf numFmtId="0" fontId="7" fillId="7" borderId="49" xfId="0" applyFont="1" applyFill="1" applyBorder="1" applyAlignment="1">
      <alignment horizontal="center" vertical="center"/>
    </xf>
    <xf numFmtId="0" fontId="7" fillId="7" borderId="47" xfId="0" applyFont="1" applyFill="1" applyBorder="1" applyAlignment="1">
      <alignment horizontal="center" vertical="center"/>
    </xf>
    <xf numFmtId="0" fontId="7" fillId="7" borderId="50" xfId="0" applyFont="1" applyFill="1" applyBorder="1" applyAlignment="1">
      <alignment horizontal="center" vertical="center"/>
    </xf>
    <xf numFmtId="0" fontId="7" fillId="7" borderId="51" xfId="0" applyFont="1" applyFill="1" applyBorder="1" applyAlignment="1">
      <alignment horizontal="center" vertical="center"/>
    </xf>
    <xf numFmtId="0" fontId="7" fillId="7" borderId="52" xfId="0" applyFont="1" applyFill="1" applyBorder="1" applyAlignment="1">
      <alignment horizontal="center" vertical="center"/>
    </xf>
    <xf numFmtId="0" fontId="7" fillId="7" borderId="53" xfId="0" applyFont="1" applyFill="1" applyBorder="1" applyAlignment="1">
      <alignment horizontal="center" vertical="center"/>
    </xf>
    <xf numFmtId="0" fontId="7" fillId="7" borderId="46" xfId="0" applyFont="1" applyFill="1" applyBorder="1" applyAlignment="1">
      <alignment horizontal="center" vertical="center"/>
    </xf>
    <xf numFmtId="0" fontId="7" fillId="7" borderId="54" xfId="0" applyFont="1" applyFill="1" applyBorder="1" applyAlignment="1">
      <alignment horizontal="center" vertical="center"/>
    </xf>
    <xf numFmtId="0" fontId="7" fillId="7" borderId="55" xfId="0" applyFont="1" applyFill="1" applyBorder="1" applyAlignment="1">
      <alignment horizontal="center" vertical="center"/>
    </xf>
    <xf numFmtId="0" fontId="7" fillId="7" borderId="56" xfId="0" applyFont="1" applyFill="1" applyBorder="1" applyAlignment="1">
      <alignment horizontal="center" vertical="center"/>
    </xf>
    <xf numFmtId="0" fontId="8" fillId="7" borderId="57" xfId="0" applyFont="1" applyFill="1" applyBorder="1" applyAlignment="1">
      <alignment horizontal="center" vertical="center"/>
    </xf>
    <xf numFmtId="0" fontId="8" fillId="7" borderId="58" xfId="0" applyFont="1" applyFill="1" applyBorder="1" applyAlignment="1">
      <alignment horizontal="center" vertical="center"/>
    </xf>
    <xf numFmtId="0" fontId="8" fillId="7" borderId="59" xfId="0" applyFont="1" applyFill="1" applyBorder="1" applyAlignment="1">
      <alignment horizontal="center" vertical="center"/>
    </xf>
    <xf numFmtId="173" fontId="0" fillId="0" borderId="60" xfId="0" applyNumberFormat="1" applyBorder="1" applyAlignment="1">
      <alignment horizontal="center" vertical="center"/>
    </xf>
    <xf numFmtId="164" fontId="0" fillId="8" borderId="61" xfId="0" applyNumberFormat="1" applyFill="1" applyBorder="1" applyAlignment="1">
      <alignment horizontal="center" vertical="center"/>
    </xf>
    <xf numFmtId="173" fontId="0" fillId="8" borderId="62" xfId="0" applyNumberFormat="1" applyFill="1" applyBorder="1" applyAlignment="1">
      <alignment horizontal="center" vertical="center"/>
    </xf>
    <xf numFmtId="172" fontId="0" fillId="8" borderId="63" xfId="0" applyNumberFormat="1" applyFill="1" applyBorder="1" applyAlignment="1">
      <alignment horizontal="center" vertical="center"/>
    </xf>
    <xf numFmtId="164" fontId="0" fillId="0" borderId="64" xfId="0" applyNumberFormat="1" applyBorder="1" applyAlignment="1">
      <alignment horizontal="center" vertical="center"/>
    </xf>
    <xf numFmtId="172" fontId="0" fillId="8" borderId="65" xfId="0" applyNumberFormat="1" applyFill="1" applyBorder="1" applyAlignment="1">
      <alignment horizontal="center" vertical="center"/>
    </xf>
    <xf numFmtId="172" fontId="0" fillId="0" borderId="66" xfId="0" applyNumberFormat="1" applyBorder="1" applyAlignment="1">
      <alignment horizontal="center" vertical="center"/>
    </xf>
    <xf numFmtId="172" fontId="0" fillId="0" borderId="67" xfId="0" applyNumberFormat="1" applyBorder="1" applyAlignment="1">
      <alignment horizontal="center" vertical="center"/>
    </xf>
    <xf numFmtId="174" fontId="0" fillId="0" borderId="68" xfId="0" applyNumberFormat="1" applyBorder="1" applyAlignment="1">
      <alignment horizontal="center" vertical="center"/>
    </xf>
    <xf numFmtId="164" fontId="0" fillId="0" borderId="66" xfId="0" applyNumberFormat="1" applyBorder="1" applyAlignment="1">
      <alignment horizontal="center" vertical="center"/>
    </xf>
    <xf numFmtId="173" fontId="0" fillId="0" borderId="69" xfId="0" applyNumberFormat="1" applyBorder="1" applyAlignment="1">
      <alignment horizontal="center" vertical="center"/>
    </xf>
    <xf numFmtId="0" fontId="0" fillId="0" borderId="70" xfId="0" applyBorder="1" applyAlignment="1">
      <alignment horizontal="center" vertical="center"/>
    </xf>
    <xf numFmtId="175" fontId="0" fillId="8" borderId="71" xfId="0" applyNumberFormat="1" applyFill="1" applyBorder="1" applyAlignment="1">
      <alignment horizontal="center" vertical="center"/>
    </xf>
    <xf numFmtId="172" fontId="0" fillId="0" borderId="72" xfId="0" applyNumberFormat="1" applyBorder="1" applyAlignment="1">
      <alignment horizontal="center" vertical="center"/>
    </xf>
    <xf numFmtId="173" fontId="0" fillId="0" borderId="73" xfId="0" applyNumberFormat="1" applyBorder="1" applyAlignment="1">
      <alignment horizontal="center" vertical="center"/>
    </xf>
    <xf numFmtId="174" fontId="0" fillId="0" borderId="66" xfId="0" applyNumberFormat="1" applyBorder="1" applyAlignment="1">
      <alignment horizontal="center" vertical="center"/>
    </xf>
    <xf numFmtId="164" fontId="0" fillId="0" borderId="74" xfId="0" applyNumberFormat="1" applyBorder="1" applyAlignment="1">
      <alignment horizontal="center" vertical="center"/>
    </xf>
    <xf numFmtId="176" fontId="0" fillId="0" borderId="66" xfId="0" applyNumberFormat="1" applyBorder="1" applyAlignment="1">
      <alignment horizontal="center" vertical="center"/>
    </xf>
    <xf numFmtId="164" fontId="0" fillId="0" borderId="67" xfId="0" applyNumberFormat="1" applyBorder="1" applyAlignment="1">
      <alignment horizontal="center" vertical="center"/>
    </xf>
    <xf numFmtId="176" fontId="0" fillId="0" borderId="68" xfId="0" applyNumberFormat="1" applyBorder="1" applyAlignment="1">
      <alignment horizontal="center" vertical="center"/>
    </xf>
    <xf numFmtId="176" fontId="0" fillId="0" borderId="75" xfId="0" applyNumberFormat="1" applyBorder="1" applyAlignment="1">
      <alignment horizontal="center" vertical="center"/>
    </xf>
    <xf numFmtId="173" fontId="0" fillId="0" borderId="66" xfId="0" applyNumberFormat="1" applyBorder="1" applyAlignment="1">
      <alignment horizontal="center" vertical="center"/>
    </xf>
    <xf numFmtId="164" fontId="0" fillId="0" borderId="75" xfId="0" applyNumberFormat="1" applyBorder="1" applyAlignment="1">
      <alignment horizontal="center" vertical="center"/>
    </xf>
    <xf numFmtId="174" fontId="0" fillId="0" borderId="76" xfId="0" applyNumberFormat="1" applyBorder="1" applyAlignment="1">
      <alignment horizontal="center" vertical="center"/>
    </xf>
    <xf numFmtId="173" fontId="0" fillId="9" borderId="77" xfId="0" applyNumberFormat="1" applyFill="1" applyBorder="1" applyAlignment="1">
      <alignment horizontal="center" vertical="center"/>
    </xf>
    <xf numFmtId="176" fontId="0" fillId="9" borderId="78" xfId="0" applyNumberFormat="1" applyFill="1" applyBorder="1" applyAlignment="1">
      <alignment horizontal="center" vertical="center"/>
    </xf>
    <xf numFmtId="177" fontId="0" fillId="9" borderId="79" xfId="0" applyNumberFormat="1" applyFill="1" applyBorder="1" applyAlignment="1">
      <alignment horizontal="center" vertical="center"/>
    </xf>
    <xf numFmtId="172" fontId="0" fillId="9" borderId="80" xfId="0" applyNumberFormat="1" applyFill="1" applyBorder="1" applyAlignment="1">
      <alignment horizontal="center" vertical="center"/>
    </xf>
    <xf numFmtId="177" fontId="0" fillId="0" borderId="81" xfId="0" applyNumberFormat="1" applyBorder="1" applyAlignment="1">
      <alignment horizontal="center" vertical="center"/>
    </xf>
    <xf numFmtId="164" fontId="0" fillId="8" borderId="82" xfId="0" applyNumberFormat="1" applyFill="1" applyBorder="1" applyAlignment="1">
      <alignment horizontal="center" vertical="center"/>
    </xf>
    <xf numFmtId="173" fontId="0" fillId="8" borderId="83" xfId="0" applyNumberFormat="1" applyFill="1" applyBorder="1" applyAlignment="1">
      <alignment horizontal="center" vertical="center"/>
    </xf>
    <xf numFmtId="172" fontId="0" fillId="8" borderId="84" xfId="0" applyNumberFormat="1" applyFill="1" applyBorder="1" applyAlignment="1">
      <alignment horizontal="center" vertical="center"/>
    </xf>
    <xf numFmtId="172" fontId="0" fillId="8" borderId="85" xfId="0" applyNumberFormat="1" applyFill="1" applyBorder="1" applyAlignment="1">
      <alignment horizontal="center" vertical="center"/>
    </xf>
    <xf numFmtId="172" fontId="0" fillId="0" borderId="86" xfId="0" applyNumberFormat="1" applyBorder="1" applyAlignment="1">
      <alignment horizontal="center" vertical="center"/>
    </xf>
    <xf numFmtId="172" fontId="0" fillId="0" borderId="87" xfId="0" applyNumberFormat="1" applyBorder="1" applyAlignment="1">
      <alignment horizontal="center" vertical="center"/>
    </xf>
    <xf numFmtId="172" fontId="0" fillId="0" borderId="81" xfId="0" applyNumberFormat="1" applyBorder="1" applyAlignment="1">
      <alignment horizontal="center" vertical="center"/>
    </xf>
    <xf numFmtId="173" fontId="0" fillId="0" borderId="88" xfId="0" applyNumberFormat="1" applyBorder="1" applyAlignment="1">
      <alignment horizontal="center" vertical="center"/>
    </xf>
    <xf numFmtId="0" fontId="0" fillId="0" borderId="89" xfId="0" applyBorder="1" applyAlignment="1">
      <alignment horizontal="center" vertical="center"/>
    </xf>
    <xf numFmtId="175" fontId="0" fillId="8" borderId="90" xfId="0" applyNumberFormat="1" applyFill="1" applyBorder="1" applyAlignment="1">
      <alignment horizontal="center" vertical="center"/>
    </xf>
    <xf numFmtId="174" fontId="0" fillId="0" borderId="86" xfId="0" applyNumberFormat="1" applyBorder="1" applyAlignment="1">
      <alignment horizontal="center" vertical="center"/>
    </xf>
    <xf numFmtId="179" fontId="0" fillId="0" borderId="86" xfId="0" applyNumberFormat="1" applyBorder="1" applyAlignment="1">
      <alignment horizontal="center" vertical="center"/>
    </xf>
    <xf numFmtId="176" fontId="0" fillId="0" borderId="81" xfId="0" applyNumberFormat="1" applyBorder="1" applyAlignment="1">
      <alignment horizontal="center" vertical="center"/>
    </xf>
    <xf numFmtId="172" fontId="0" fillId="0" borderId="75" xfId="0" applyNumberFormat="1" applyBorder="1" applyAlignment="1">
      <alignment horizontal="center" vertical="center"/>
    </xf>
    <xf numFmtId="173" fontId="0" fillId="0" borderId="86" xfId="0" applyNumberFormat="1" applyBorder="1" applyAlignment="1">
      <alignment horizontal="center" vertical="center"/>
    </xf>
    <xf numFmtId="174" fontId="0" fillId="0" borderId="93" xfId="0" applyNumberFormat="1" applyBorder="1" applyAlignment="1">
      <alignment horizontal="center" vertical="center"/>
    </xf>
    <xf numFmtId="180" fontId="0" fillId="0" borderId="0" xfId="0" applyNumberFormat="1" applyAlignment="1">
      <alignment horizontal="center" vertical="center"/>
    </xf>
    <xf numFmtId="173" fontId="0" fillId="0" borderId="81" xfId="0" applyNumberFormat="1" applyBorder="1" applyAlignment="1">
      <alignment horizontal="center" vertical="center"/>
    </xf>
    <xf numFmtId="176" fontId="0" fillId="8" borderId="85" xfId="0" applyNumberFormat="1" applyFill="1" applyBorder="1" applyAlignment="1">
      <alignment horizontal="center" vertical="center"/>
    </xf>
    <xf numFmtId="173" fontId="0" fillId="0" borderId="98" xfId="0" applyNumberFormat="1" applyBorder="1" applyAlignment="1">
      <alignment horizontal="center" vertical="center"/>
    </xf>
    <xf numFmtId="0" fontId="0" fillId="0" borderId="99" xfId="0" applyBorder="1" applyAlignment="1">
      <alignment horizontal="center" vertical="center"/>
    </xf>
    <xf numFmtId="172" fontId="0" fillId="0" borderId="18" xfId="0" applyNumberFormat="1" applyBorder="1" applyAlignment="1">
      <alignment horizontal="center" vertical="center"/>
    </xf>
    <xf numFmtId="176" fontId="0" fillId="0" borderId="86" xfId="0" applyNumberFormat="1" applyBorder="1" applyAlignment="1">
      <alignment horizontal="center" vertical="center"/>
    </xf>
    <xf numFmtId="0" fontId="8" fillId="7" borderId="101" xfId="0" applyFont="1" applyFill="1" applyBorder="1" applyAlignment="1">
      <alignment horizontal="center" vertical="center"/>
    </xf>
    <xf numFmtId="0" fontId="8" fillId="7" borderId="4" xfId="0" applyFont="1" applyFill="1" applyBorder="1" applyAlignment="1">
      <alignment horizontal="center" vertical="center"/>
    </xf>
    <xf numFmtId="0" fontId="8" fillId="7" borderId="102" xfId="0" applyFont="1" applyFill="1" applyBorder="1" applyAlignment="1">
      <alignment horizontal="center" vertical="center"/>
    </xf>
    <xf numFmtId="0" fontId="8" fillId="7" borderId="103" xfId="0" applyFont="1" applyFill="1" applyBorder="1" applyAlignment="1">
      <alignment horizontal="center" vertical="center"/>
    </xf>
    <xf numFmtId="176" fontId="9" fillId="8" borderId="90" xfId="0" applyNumberFormat="1" applyFont="1" applyFill="1" applyBorder="1" applyAlignment="1">
      <alignment horizontal="center" vertical="center"/>
    </xf>
    <xf numFmtId="179" fontId="0" fillId="0" borderId="81" xfId="0" applyNumberFormat="1" applyBorder="1" applyAlignment="1">
      <alignment horizontal="center" vertical="center"/>
    </xf>
    <xf numFmtId="179" fontId="0" fillId="0" borderId="93" xfId="0" applyNumberFormat="1" applyBorder="1" applyAlignment="1">
      <alignment horizontal="center" vertical="center"/>
    </xf>
    <xf numFmtId="173" fontId="0" fillId="9" borderId="104" xfId="0" applyNumberFormat="1" applyFill="1" applyBorder="1" applyAlignment="1">
      <alignment horizontal="center" vertical="center"/>
    </xf>
    <xf numFmtId="172" fontId="0" fillId="9" borderId="105" xfId="0" applyNumberFormat="1" applyFill="1" applyBorder="1" applyAlignment="1">
      <alignment horizontal="center" vertical="center"/>
    </xf>
    <xf numFmtId="168" fontId="0" fillId="9" borderId="106" xfId="0" applyNumberFormat="1" applyFill="1" applyBorder="1" applyAlignment="1">
      <alignment horizontal="center" vertical="center"/>
    </xf>
    <xf numFmtId="176" fontId="0" fillId="9" borderId="107" xfId="0" applyNumberFormat="1" applyFill="1" applyBorder="1" applyAlignment="1">
      <alignment horizontal="center" vertical="center"/>
    </xf>
    <xf numFmtId="176" fontId="0" fillId="8" borderId="90" xfId="0" applyNumberFormat="1" applyFill="1" applyBorder="1" applyAlignment="1">
      <alignment horizontal="center" vertical="center"/>
    </xf>
    <xf numFmtId="0" fontId="10" fillId="7" borderId="110" xfId="0" quotePrefix="1" applyFont="1" applyFill="1" applyBorder="1" applyAlignment="1">
      <alignment horizontal="center" vertical="center"/>
    </xf>
    <xf numFmtId="0" fontId="10" fillId="7" borderId="111" xfId="0" quotePrefix="1" applyFont="1" applyFill="1" applyBorder="1" applyAlignment="1">
      <alignment horizontal="center" vertical="center"/>
    </xf>
    <xf numFmtId="176" fontId="0" fillId="0" borderId="67" xfId="0" applyNumberFormat="1" applyBorder="1" applyAlignment="1">
      <alignment horizontal="center" vertical="center"/>
    </xf>
    <xf numFmtId="173" fontId="0" fillId="0" borderId="112" xfId="0" applyNumberFormat="1" applyBorder="1" applyAlignment="1">
      <alignment horizontal="center" vertical="center"/>
    </xf>
    <xf numFmtId="182" fontId="0" fillId="0" borderId="86" xfId="0" applyNumberFormat="1" applyBorder="1" applyAlignment="1">
      <alignment horizontal="center" vertical="center"/>
    </xf>
    <xf numFmtId="172" fontId="0" fillId="0" borderId="81" xfId="0" applyNumberFormat="1" applyBorder="1" applyAlignment="1">
      <alignment horizontal="center" vertical="center" wrapText="1"/>
    </xf>
    <xf numFmtId="164" fontId="0" fillId="0" borderId="74" xfId="0" applyNumberFormat="1" applyBorder="1" applyAlignment="1">
      <alignment horizontal="center" vertical="center" wrapText="1"/>
    </xf>
    <xf numFmtId="172" fontId="0" fillId="0" borderId="75" xfId="0" applyNumberFormat="1" applyBorder="1" applyAlignment="1">
      <alignment horizontal="center" vertical="center" wrapText="1"/>
    </xf>
    <xf numFmtId="172" fontId="0" fillId="9" borderId="46" xfId="0" applyNumberFormat="1" applyFill="1" applyBorder="1" applyAlignment="1">
      <alignment horizontal="center" vertical="center"/>
    </xf>
    <xf numFmtId="172" fontId="0" fillId="9" borderId="53" xfId="0" applyNumberFormat="1" applyFill="1" applyBorder="1" applyAlignment="1">
      <alignment horizontal="center" vertical="center"/>
    </xf>
    <xf numFmtId="173" fontId="0" fillId="0" borderId="87" xfId="0" applyNumberFormat="1" applyBorder="1" applyAlignment="1">
      <alignment horizontal="center" vertical="center"/>
    </xf>
    <xf numFmtId="176" fontId="0" fillId="8" borderId="84" xfId="0" applyNumberFormat="1" applyFill="1" applyBorder="1" applyAlignment="1">
      <alignment horizontal="center" vertical="center"/>
    </xf>
    <xf numFmtId="172" fontId="0" fillId="0" borderId="87" xfId="0" applyNumberFormat="1" applyBorder="1" applyAlignment="1">
      <alignment horizontal="center" vertical="center" wrapText="1"/>
    </xf>
    <xf numFmtId="176" fontId="0" fillId="0" borderId="87" xfId="0" applyNumberFormat="1" applyBorder="1" applyAlignment="1">
      <alignment horizontal="center" vertical="center"/>
    </xf>
    <xf numFmtId="173" fontId="0" fillId="0" borderId="113" xfId="0" applyNumberFormat="1" applyBorder="1" applyAlignment="1">
      <alignment horizontal="center" vertical="center"/>
    </xf>
    <xf numFmtId="0" fontId="11" fillId="0" borderId="0" xfId="0" applyFont="1"/>
    <xf numFmtId="172" fontId="0" fillId="8" borderId="90" xfId="0" applyNumberFormat="1" applyFill="1" applyBorder="1" applyAlignment="1">
      <alignment horizontal="center" vertical="center"/>
    </xf>
    <xf numFmtId="172" fontId="0" fillId="0" borderId="116" xfId="0" applyNumberFormat="1" applyBorder="1" applyAlignment="1">
      <alignment horizontal="center" vertical="center"/>
    </xf>
    <xf numFmtId="172" fontId="0" fillId="0" borderId="117" xfId="0" applyNumberFormat="1" applyBorder="1" applyAlignment="1">
      <alignment horizontal="center" vertical="center"/>
    </xf>
    <xf numFmtId="172" fontId="0" fillId="0" borderId="93" xfId="0" applyNumberFormat="1" applyBorder="1" applyAlignment="1">
      <alignment horizontal="center" vertical="center"/>
    </xf>
    <xf numFmtId="176" fontId="0" fillId="0" borderId="116" xfId="0" applyNumberFormat="1" applyBorder="1" applyAlignment="1">
      <alignment horizontal="center" vertical="center"/>
    </xf>
    <xf numFmtId="172" fontId="0" fillId="0" borderId="116" xfId="0" applyNumberFormat="1" applyBorder="1" applyAlignment="1">
      <alignment horizontal="center"/>
    </xf>
    <xf numFmtId="172" fontId="0" fillId="11" borderId="84" xfId="0" applyNumberFormat="1" applyFill="1" applyBorder="1" applyAlignment="1">
      <alignment horizontal="center" vertical="center"/>
    </xf>
    <xf numFmtId="164" fontId="0" fillId="11" borderId="118" xfId="0" applyNumberFormat="1" applyFill="1" applyBorder="1" applyAlignment="1">
      <alignment horizontal="center" vertical="center"/>
    </xf>
    <xf numFmtId="181" fontId="0" fillId="11" borderId="84" xfId="0" applyNumberFormat="1" applyFill="1" applyBorder="1" applyAlignment="1">
      <alignment horizontal="center" vertical="center"/>
    </xf>
    <xf numFmtId="181" fontId="0" fillId="0" borderId="116" xfId="0" applyNumberFormat="1" applyBorder="1" applyAlignment="1">
      <alignment horizontal="center" vertical="center"/>
    </xf>
    <xf numFmtId="0" fontId="0" fillId="0" borderId="64" xfId="0" applyBorder="1" applyAlignment="1">
      <alignment horizontal="center" vertical="center"/>
    </xf>
    <xf numFmtId="173" fontId="0" fillId="0" borderId="119" xfId="0" applyNumberFormat="1" applyBorder="1" applyAlignment="1">
      <alignment horizontal="center" vertical="center"/>
    </xf>
    <xf numFmtId="164" fontId="0" fillId="0" borderId="120" xfId="0" applyNumberFormat="1" applyBorder="1" applyAlignment="1">
      <alignment horizontal="center" vertical="center"/>
    </xf>
    <xf numFmtId="173" fontId="0" fillId="0" borderId="18" xfId="0" applyNumberFormat="1" applyBorder="1" applyAlignment="1">
      <alignment horizontal="center" vertical="center"/>
    </xf>
    <xf numFmtId="172" fontId="0" fillId="0" borderId="121" xfId="0" applyNumberFormat="1" applyBorder="1" applyAlignment="1">
      <alignment horizontal="center" vertical="center"/>
    </xf>
    <xf numFmtId="0" fontId="0" fillId="0" borderId="122" xfId="0" applyBorder="1" applyAlignment="1">
      <alignment horizontal="center" vertical="center"/>
    </xf>
    <xf numFmtId="172" fontId="0" fillId="0" borderId="100" xfId="0" applyNumberFormat="1" applyBorder="1" applyAlignment="1">
      <alignment horizontal="center" vertical="center"/>
    </xf>
    <xf numFmtId="172" fontId="0" fillId="0" borderId="123" xfId="0" applyNumberFormat="1" applyBorder="1" applyAlignment="1">
      <alignment horizontal="center" vertical="center"/>
    </xf>
    <xf numFmtId="172" fontId="0" fillId="0" borderId="119" xfId="0" applyNumberFormat="1" applyBorder="1" applyAlignment="1">
      <alignment horizontal="center" vertical="center"/>
    </xf>
    <xf numFmtId="173" fontId="0" fillId="0" borderId="124" xfId="0" applyNumberFormat="1" applyBorder="1" applyAlignment="1">
      <alignment horizontal="center" vertical="center"/>
    </xf>
    <xf numFmtId="0" fontId="0" fillId="0" borderId="125" xfId="0" applyBorder="1" applyAlignment="1">
      <alignment horizontal="center" vertical="center"/>
    </xf>
    <xf numFmtId="179" fontId="0" fillId="10" borderId="126" xfId="0" applyNumberFormat="1" applyFill="1" applyBorder="1" applyAlignment="1">
      <alignment horizontal="center" vertical="center"/>
    </xf>
    <xf numFmtId="176" fontId="0" fillId="0" borderId="18" xfId="0" applyNumberFormat="1" applyBorder="1" applyAlignment="1">
      <alignment horizontal="center" vertical="center"/>
    </xf>
    <xf numFmtId="173" fontId="0" fillId="0" borderId="127" xfId="0" applyNumberFormat="1" applyBorder="1" applyAlignment="1">
      <alignment horizontal="center" vertical="center"/>
    </xf>
    <xf numFmtId="0" fontId="0" fillId="0" borderId="100" xfId="0" applyBorder="1" applyAlignment="1">
      <alignment horizontal="center" vertical="center"/>
    </xf>
    <xf numFmtId="176" fontId="0" fillId="0" borderId="123" xfId="0" applyNumberFormat="1" applyBorder="1" applyAlignment="1">
      <alignment horizontal="center" vertical="center"/>
    </xf>
    <xf numFmtId="164" fontId="0" fillId="0" borderId="128" xfId="0" applyNumberFormat="1" applyBorder="1" applyAlignment="1">
      <alignment horizontal="center" vertical="center"/>
    </xf>
    <xf numFmtId="172" fontId="0" fillId="0" borderId="129" xfId="0" applyNumberFormat="1" applyBorder="1" applyAlignment="1">
      <alignment horizontal="center" vertical="center"/>
    </xf>
    <xf numFmtId="173" fontId="0" fillId="0" borderId="123" xfId="0" applyNumberFormat="1" applyBorder="1" applyAlignment="1">
      <alignment horizontal="center" vertical="center"/>
    </xf>
    <xf numFmtId="164" fontId="0" fillId="0" borderId="129" xfId="0" applyNumberFormat="1" applyBorder="1" applyAlignment="1">
      <alignment horizontal="center" vertical="center"/>
    </xf>
    <xf numFmtId="174" fontId="0" fillId="0" borderId="30" xfId="0" applyNumberFormat="1" applyBorder="1" applyAlignment="1">
      <alignment horizontal="center" vertical="center"/>
    </xf>
    <xf numFmtId="0" fontId="12" fillId="7" borderId="130" xfId="0" applyFont="1" applyFill="1" applyBorder="1" applyAlignment="1">
      <alignment vertical="center"/>
    </xf>
    <xf numFmtId="0" fontId="12" fillId="7" borderId="131" xfId="0" applyFont="1" applyFill="1" applyBorder="1" applyAlignment="1">
      <alignment vertical="center"/>
    </xf>
    <xf numFmtId="0" fontId="12" fillId="7" borderId="132" xfId="0" applyFont="1" applyFill="1" applyBorder="1" applyAlignment="1">
      <alignment horizontal="center" vertical="center"/>
    </xf>
    <xf numFmtId="0" fontId="12" fillId="7" borderId="131" xfId="0" applyFont="1" applyFill="1" applyBorder="1" applyAlignment="1">
      <alignment horizontal="center" vertical="center"/>
    </xf>
    <xf numFmtId="173" fontId="12" fillId="7" borderId="136" xfId="0" applyNumberFormat="1" applyFont="1" applyFill="1" applyBorder="1" applyAlignment="1">
      <alignment horizontal="center" vertical="center"/>
    </xf>
    <xf numFmtId="0" fontId="13" fillId="7" borderId="137" xfId="0" applyFont="1" applyFill="1" applyBorder="1" applyAlignment="1">
      <alignment horizontal="center" vertical="center"/>
    </xf>
    <xf numFmtId="0" fontId="12" fillId="7" borderId="82" xfId="0" applyFont="1" applyFill="1" applyBorder="1" applyAlignment="1">
      <alignment horizontal="center" vertical="center"/>
    </xf>
    <xf numFmtId="0" fontId="12" fillId="7" borderId="138" xfId="0" applyFont="1" applyFill="1" applyBorder="1" applyAlignment="1">
      <alignment horizontal="center" vertical="center"/>
    </xf>
    <xf numFmtId="173" fontId="12" fillId="7" borderId="139" xfId="0" applyNumberFormat="1" applyFont="1" applyFill="1" applyBorder="1" applyAlignment="1">
      <alignment horizontal="center" vertical="center"/>
    </xf>
    <xf numFmtId="0" fontId="12" fillId="7" borderId="140" xfId="0" applyFont="1" applyFill="1" applyBorder="1" applyAlignment="1">
      <alignment horizontal="center" vertical="center"/>
    </xf>
    <xf numFmtId="0" fontId="12" fillId="7" borderId="141" xfId="0" applyFont="1" applyFill="1" applyBorder="1" applyAlignment="1">
      <alignment horizontal="center" vertical="center"/>
    </xf>
    <xf numFmtId="0" fontId="12" fillId="7" borderId="142" xfId="0" applyFont="1" applyFill="1" applyBorder="1" applyAlignment="1">
      <alignment horizontal="center" vertical="center"/>
    </xf>
    <xf numFmtId="0" fontId="12" fillId="7" borderId="11" xfId="0" applyFont="1" applyFill="1" applyBorder="1" applyAlignment="1">
      <alignment horizontal="center" vertical="center"/>
    </xf>
    <xf numFmtId="0" fontId="12" fillId="7" borderId="143" xfId="0" applyFont="1" applyFill="1" applyBorder="1" applyAlignment="1">
      <alignment horizontal="center" vertical="center"/>
    </xf>
    <xf numFmtId="173" fontId="12" fillId="7" borderId="142" xfId="0" applyNumberFormat="1" applyFont="1" applyFill="1" applyBorder="1" applyAlignment="1">
      <alignment horizontal="center" vertical="center"/>
    </xf>
    <xf numFmtId="0" fontId="12" fillId="7" borderId="8" xfId="0" applyFont="1" applyFill="1" applyBorder="1" applyAlignment="1">
      <alignment horizontal="center" vertical="center"/>
    </xf>
    <xf numFmtId="177" fontId="0" fillId="10" borderId="144" xfId="0" applyNumberFormat="1" applyFill="1" applyBorder="1" applyAlignment="1">
      <alignment horizontal="center" vertical="center"/>
    </xf>
    <xf numFmtId="0" fontId="0" fillId="10" borderId="145" xfId="0" applyFill="1" applyBorder="1"/>
    <xf numFmtId="177" fontId="0" fillId="10" borderId="126" xfId="0" applyNumberFormat="1" applyFill="1" applyBorder="1" applyAlignment="1">
      <alignment horizontal="center" vertical="center"/>
    </xf>
    <xf numFmtId="172" fontId="0" fillId="10" borderId="126" xfId="0" applyNumberFormat="1" applyFill="1" applyBorder="1" applyAlignment="1">
      <alignment horizontal="center" vertical="center"/>
    </xf>
    <xf numFmtId="181" fontId="0" fillId="10" borderId="45" xfId="0" applyNumberFormat="1" applyFill="1" applyBorder="1" applyAlignment="1">
      <alignment horizontal="center" vertical="center"/>
    </xf>
    <xf numFmtId="172" fontId="0" fillId="10" borderId="45" xfId="0" applyNumberFormat="1" applyFill="1" applyBorder="1" applyAlignment="1">
      <alignment horizontal="center" vertical="center"/>
    </xf>
    <xf numFmtId="0" fontId="0" fillId="10" borderId="45" xfId="0" applyFill="1" applyBorder="1"/>
    <xf numFmtId="173" fontId="0" fillId="10" borderId="146" xfId="0" applyNumberFormat="1" applyFill="1" applyBorder="1" applyAlignment="1">
      <alignment horizontal="center" vertical="center"/>
    </xf>
    <xf numFmtId="0" fontId="0" fillId="10" borderId="147" xfId="0" applyFill="1" applyBorder="1"/>
    <xf numFmtId="176" fontId="0" fillId="10" borderId="126" xfId="0" applyNumberFormat="1" applyFill="1" applyBorder="1" applyAlignment="1">
      <alignment horizontal="center" vertical="center"/>
    </xf>
    <xf numFmtId="172" fontId="0" fillId="10" borderId="146" xfId="0" applyNumberFormat="1" applyFill="1" applyBorder="1" applyAlignment="1">
      <alignment horizontal="center" vertical="center"/>
    </xf>
    <xf numFmtId="173" fontId="0" fillId="10" borderId="148" xfId="0" applyNumberFormat="1" applyFill="1" applyBorder="1" applyAlignment="1">
      <alignment horizontal="center" vertical="center"/>
    </xf>
    <xf numFmtId="168" fontId="0" fillId="10" borderId="149" xfId="0" applyNumberFormat="1" applyFill="1" applyBorder="1" applyAlignment="1">
      <alignment horizontal="center" vertical="center"/>
    </xf>
    <xf numFmtId="176" fontId="0" fillId="10" borderId="150" xfId="0" applyNumberFormat="1" applyFill="1" applyBorder="1" applyAlignment="1">
      <alignment horizontal="center" vertical="center"/>
    </xf>
    <xf numFmtId="176" fontId="0" fillId="10" borderId="151" xfId="0" applyNumberFormat="1" applyFill="1" applyBorder="1" applyAlignment="1">
      <alignment horizontal="center" vertical="center"/>
    </xf>
    <xf numFmtId="183" fontId="0" fillId="10" borderId="152" xfId="0" applyNumberFormat="1" applyFill="1" applyBorder="1" applyAlignment="1">
      <alignment horizontal="center" vertical="center"/>
    </xf>
    <xf numFmtId="0" fontId="0" fillId="10" borderId="149" xfId="0" applyFill="1" applyBorder="1"/>
    <xf numFmtId="173" fontId="0" fillId="10" borderId="150" xfId="0" applyNumberFormat="1" applyFill="1" applyBorder="1" applyAlignment="1">
      <alignment horizontal="center" vertical="center"/>
    </xf>
    <xf numFmtId="0" fontId="0" fillId="10" borderId="146" xfId="0" applyFill="1" applyBorder="1"/>
    <xf numFmtId="172" fontId="0" fillId="10" borderId="33" xfId="0" applyNumberFormat="1" applyFill="1" applyBorder="1" applyAlignment="1">
      <alignment horizontal="center" vertical="center"/>
    </xf>
    <xf numFmtId="164" fontId="2" fillId="3" borderId="60" xfId="0" applyNumberFormat="1" applyFont="1" applyFill="1" applyBorder="1" applyAlignment="1">
      <alignment horizontal="center" vertical="center"/>
    </xf>
    <xf numFmtId="165" fontId="2" fillId="3" borderId="153" xfId="0" applyNumberFormat="1" applyFont="1" applyFill="1" applyBorder="1" applyAlignment="1">
      <alignment horizontal="center" vertical="center"/>
    </xf>
    <xf numFmtId="165" fontId="2" fillId="3" borderId="154" xfId="0" applyNumberFormat="1" applyFont="1" applyFill="1" applyBorder="1" applyAlignment="1">
      <alignment horizontal="center" vertical="center"/>
    </xf>
    <xf numFmtId="20" fontId="2" fillId="3" borderId="155" xfId="0" applyNumberFormat="1" applyFont="1" applyFill="1" applyBorder="1" applyAlignment="1">
      <alignment horizontal="center" vertical="center" wrapText="1"/>
    </xf>
    <xf numFmtId="0" fontId="2" fillId="3" borderId="154" xfId="0" applyFont="1" applyFill="1" applyBorder="1" applyAlignment="1">
      <alignment horizontal="center" vertical="center"/>
    </xf>
    <xf numFmtId="0" fontId="0" fillId="3" borderId="156" xfId="0" applyFill="1" applyBorder="1" applyAlignment="1">
      <alignment horizontal="center" vertical="center"/>
    </xf>
    <xf numFmtId="165" fontId="2" fillId="3" borderId="155" xfId="0" applyNumberFormat="1" applyFont="1" applyFill="1" applyBorder="1" applyAlignment="1">
      <alignment horizontal="center" vertical="center"/>
    </xf>
    <xf numFmtId="0" fontId="2" fillId="3" borderId="155" xfId="0" applyFont="1" applyFill="1" applyBorder="1" applyAlignment="1">
      <alignment horizontal="center" vertical="center"/>
    </xf>
    <xf numFmtId="166" fontId="2" fillId="3" borderId="157" xfId="0" applyNumberFormat="1" applyFont="1" applyFill="1" applyBorder="1" applyAlignment="1">
      <alignment horizontal="center" vertical="center" wrapText="1"/>
    </xf>
    <xf numFmtId="167" fontId="2" fillId="3" borderId="9" xfId="0" applyNumberFormat="1" applyFont="1" applyFill="1" applyBorder="1" applyAlignment="1">
      <alignment horizontal="center" vertical="center"/>
    </xf>
    <xf numFmtId="164" fontId="2" fillId="8" borderId="81" xfId="0" applyNumberFormat="1" applyFont="1" applyFill="1" applyBorder="1" applyAlignment="1">
      <alignment horizontal="center" vertical="center"/>
    </xf>
    <xf numFmtId="165" fontId="2" fillId="0" borderId="158" xfId="0" applyNumberFormat="1" applyFont="1" applyBorder="1" applyAlignment="1">
      <alignment horizontal="center" vertical="center"/>
    </xf>
    <xf numFmtId="167" fontId="0" fillId="0" borderId="16" xfId="0" applyNumberFormat="1" applyBorder="1" applyAlignment="1">
      <alignment horizontal="center" vertical="center"/>
    </xf>
    <xf numFmtId="20" fontId="2" fillId="0" borderId="159" xfId="0" applyNumberFormat="1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/>
    </xf>
    <xf numFmtId="0" fontId="0" fillId="0" borderId="160" xfId="0" applyBorder="1" applyAlignment="1">
      <alignment horizontal="center" vertical="center"/>
    </xf>
    <xf numFmtId="165" fontId="2" fillId="0" borderId="159" xfId="0" applyNumberFormat="1" applyFont="1" applyBorder="1" applyAlignment="1">
      <alignment horizontal="center" vertical="center"/>
    </xf>
    <xf numFmtId="0" fontId="2" fillId="0" borderId="159" xfId="0" applyFont="1" applyBorder="1" applyAlignment="1">
      <alignment horizontal="center" vertical="center"/>
    </xf>
    <xf numFmtId="166" fontId="2" fillId="0" borderId="161" xfId="0" applyNumberFormat="1" applyFont="1" applyBorder="1" applyAlignment="1">
      <alignment horizontal="center" vertical="center" wrapText="1"/>
    </xf>
    <xf numFmtId="164" fontId="2" fillId="3" borderId="81" xfId="0" applyNumberFormat="1" applyFont="1" applyFill="1" applyBorder="1" applyAlignment="1">
      <alignment horizontal="center" vertical="center"/>
    </xf>
    <xf numFmtId="165" fontId="2" fillId="3" borderId="162" xfId="0" applyNumberFormat="1" applyFont="1" applyFill="1" applyBorder="1" applyAlignment="1">
      <alignment horizontal="center" vertical="center"/>
    </xf>
    <xf numFmtId="167" fontId="0" fillId="3" borderId="22" xfId="0" applyNumberFormat="1" applyFill="1" applyBorder="1" applyAlignment="1">
      <alignment horizontal="center" vertical="center"/>
    </xf>
    <xf numFmtId="20" fontId="2" fillId="3" borderId="159" xfId="0" applyNumberFormat="1" applyFont="1" applyFill="1" applyBorder="1" applyAlignment="1">
      <alignment horizontal="center" vertical="center" wrapText="1"/>
    </xf>
    <xf numFmtId="0" fontId="2" fillId="3" borderId="22" xfId="0" applyFont="1" applyFill="1" applyBorder="1" applyAlignment="1">
      <alignment horizontal="center" vertical="center"/>
    </xf>
    <xf numFmtId="0" fontId="0" fillId="3" borderId="163" xfId="0" applyFill="1" applyBorder="1" applyAlignment="1">
      <alignment horizontal="center" vertical="center"/>
    </xf>
    <xf numFmtId="165" fontId="2" fillId="3" borderId="159" xfId="0" applyNumberFormat="1" applyFont="1" applyFill="1" applyBorder="1" applyAlignment="1">
      <alignment horizontal="center" vertical="center"/>
    </xf>
    <xf numFmtId="0" fontId="2" fillId="3" borderId="159" xfId="0" applyFont="1" applyFill="1" applyBorder="1" applyAlignment="1">
      <alignment horizontal="center" vertical="center"/>
    </xf>
    <xf numFmtId="166" fontId="2" fillId="3" borderId="164" xfId="0" applyNumberFormat="1" applyFont="1" applyFill="1" applyBorder="1" applyAlignment="1">
      <alignment horizontal="center" vertical="center" wrapText="1"/>
    </xf>
    <xf numFmtId="167" fontId="2" fillId="3" borderId="21" xfId="0" applyNumberFormat="1" applyFont="1" applyFill="1" applyBorder="1" applyAlignment="1">
      <alignment horizontal="center" vertical="center"/>
    </xf>
    <xf numFmtId="165" fontId="0" fillId="0" borderId="16" xfId="0" applyNumberFormat="1" applyBorder="1" applyAlignment="1">
      <alignment horizontal="center" vertical="center"/>
    </xf>
    <xf numFmtId="0" fontId="2" fillId="8" borderId="159" xfId="0" applyFont="1" applyFill="1" applyBorder="1" applyAlignment="1">
      <alignment horizontal="center" vertical="center"/>
    </xf>
    <xf numFmtId="165" fontId="0" fillId="3" borderId="22" xfId="0" applyNumberFormat="1" applyFill="1" applyBorder="1" applyAlignment="1">
      <alignment horizontal="center" vertical="center"/>
    </xf>
    <xf numFmtId="20" fontId="2" fillId="0" borderId="160" xfId="0" applyNumberFormat="1" applyFont="1" applyBorder="1" applyAlignment="1">
      <alignment horizontal="center" vertical="center"/>
    </xf>
    <xf numFmtId="1" fontId="0" fillId="3" borderId="22" xfId="0" applyNumberFormat="1" applyFill="1" applyBorder="1" applyAlignment="1">
      <alignment horizontal="center" vertical="center"/>
    </xf>
    <xf numFmtId="0" fontId="0" fillId="3" borderId="159" xfId="0" applyFill="1" applyBorder="1" applyAlignment="1">
      <alignment horizontal="center" vertical="center"/>
    </xf>
    <xf numFmtId="20" fontId="2" fillId="3" borderId="163" xfId="0" applyNumberFormat="1" applyFont="1" applyFill="1" applyBorder="1" applyAlignment="1">
      <alignment horizontal="center" vertical="center"/>
    </xf>
    <xf numFmtId="0" fontId="0" fillId="0" borderId="159" xfId="0" applyBorder="1" applyAlignment="1">
      <alignment horizontal="center" vertical="center"/>
    </xf>
    <xf numFmtId="171" fontId="2" fillId="3" borderId="21" xfId="0" applyNumberFormat="1" applyFont="1" applyFill="1" applyBorder="1" applyAlignment="1">
      <alignment horizontal="center" vertical="center"/>
    </xf>
    <xf numFmtId="20" fontId="0" fillId="0" borderId="159" xfId="0" applyNumberFormat="1" applyBorder="1" applyAlignment="1">
      <alignment horizontal="center" vertical="center"/>
    </xf>
    <xf numFmtId="20" fontId="0" fillId="3" borderId="159" xfId="0" applyNumberFormat="1" applyFill="1" applyBorder="1" applyAlignment="1">
      <alignment horizontal="center" vertical="center"/>
    </xf>
    <xf numFmtId="169" fontId="2" fillId="3" borderId="21" xfId="0" applyNumberFormat="1" applyFont="1" applyFill="1" applyBorder="1" applyAlignment="1">
      <alignment horizontal="center" vertical="center"/>
    </xf>
    <xf numFmtId="165" fontId="0" fillId="0" borderId="159" xfId="0" applyNumberFormat="1" applyBorder="1" applyAlignment="1">
      <alignment horizontal="center" vertical="center"/>
    </xf>
    <xf numFmtId="0" fontId="0" fillId="3" borderId="22" xfId="0" applyFill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172" fontId="2" fillId="3" borderId="21" xfId="0" applyNumberFormat="1" applyFont="1" applyFill="1" applyBorder="1" applyAlignment="1">
      <alignment horizontal="center" vertical="center"/>
    </xf>
    <xf numFmtId="171" fontId="2" fillId="0" borderId="15" xfId="0" applyNumberFormat="1" applyFont="1" applyBorder="1" applyAlignment="1">
      <alignment horizontal="center" vertical="center"/>
    </xf>
    <xf numFmtId="168" fontId="2" fillId="3" borderId="21" xfId="0" applyNumberFormat="1" applyFont="1" applyFill="1" applyBorder="1" applyAlignment="1">
      <alignment horizontal="center" vertical="center"/>
    </xf>
    <xf numFmtId="169" fontId="2" fillId="3" borderId="34" xfId="0" applyNumberFormat="1" applyFont="1" applyFill="1" applyBorder="1" applyAlignment="1">
      <alignment horizontal="center" vertical="center"/>
    </xf>
    <xf numFmtId="164" fontId="2" fillId="3" borderId="165" xfId="0" applyNumberFormat="1" applyFont="1" applyFill="1" applyBorder="1" applyAlignment="1">
      <alignment horizontal="center" vertical="center"/>
    </xf>
    <xf numFmtId="165" fontId="0" fillId="3" borderId="159" xfId="0" applyNumberFormat="1" applyFill="1" applyBorder="1" applyAlignment="1">
      <alignment horizontal="center" vertical="center"/>
    </xf>
    <xf numFmtId="164" fontId="2" fillId="0" borderId="166" xfId="0" applyNumberFormat="1" applyFont="1" applyBorder="1" applyAlignment="1">
      <alignment horizontal="center" vertical="center"/>
    </xf>
    <xf numFmtId="164" fontId="2" fillId="3" borderId="166" xfId="0" applyNumberFormat="1" applyFont="1" applyFill="1" applyBorder="1" applyAlignment="1">
      <alignment horizontal="center" vertical="center"/>
    </xf>
    <xf numFmtId="164" fontId="2" fillId="11" borderId="167" xfId="0" applyNumberFormat="1" applyFont="1" applyFill="1" applyBorder="1" applyAlignment="1">
      <alignment horizontal="center" vertical="center"/>
    </xf>
    <xf numFmtId="165" fontId="2" fillId="11" borderId="150" xfId="0" applyNumberFormat="1" applyFont="1" applyFill="1" applyBorder="1" applyAlignment="1">
      <alignment horizontal="center" vertical="center"/>
    </xf>
    <xf numFmtId="0" fontId="14" fillId="11" borderId="175" xfId="0" applyFont="1" applyFill="1" applyBorder="1" applyAlignment="1">
      <alignment horizontal="center" vertical="center"/>
    </xf>
    <xf numFmtId="0" fontId="14" fillId="11" borderId="5" xfId="0" applyFont="1" applyFill="1" applyBorder="1" applyAlignment="1">
      <alignment horizontal="center" vertical="center"/>
    </xf>
    <xf numFmtId="0" fontId="14" fillId="11" borderId="176" xfId="0" applyFont="1" applyFill="1" applyBorder="1" applyAlignment="1">
      <alignment horizontal="center" vertical="center"/>
    </xf>
    <xf numFmtId="164" fontId="0" fillId="11" borderId="177" xfId="0" applyNumberFormat="1" applyFill="1" applyBorder="1" applyAlignment="1">
      <alignment horizontal="center" vertical="center"/>
    </xf>
    <xf numFmtId="184" fontId="0" fillId="11" borderId="5" xfId="0" applyNumberFormat="1" applyFill="1" applyBorder="1" applyAlignment="1">
      <alignment horizontal="center" vertical="center"/>
    </xf>
    <xf numFmtId="164" fontId="0" fillId="11" borderId="175" xfId="0" applyNumberFormat="1" applyFill="1" applyBorder="1" applyAlignment="1">
      <alignment horizontal="center" vertical="center"/>
    </xf>
    <xf numFmtId="184" fontId="0" fillId="11" borderId="178" xfId="0" applyNumberFormat="1" applyFill="1" applyBorder="1" applyAlignment="1">
      <alignment horizontal="center" vertical="center"/>
    </xf>
    <xf numFmtId="184" fontId="0" fillId="0" borderId="0" xfId="0" applyNumberFormat="1" applyAlignment="1">
      <alignment horizontal="center" vertical="center"/>
    </xf>
    <xf numFmtId="0" fontId="7" fillId="7" borderId="146" xfId="0" applyFont="1" applyFill="1" applyBorder="1" applyAlignment="1">
      <alignment horizontal="center" vertical="center"/>
    </xf>
    <xf numFmtId="0" fontId="7" fillId="7" borderId="182" xfId="0" applyFont="1" applyFill="1" applyBorder="1" applyAlignment="1">
      <alignment horizontal="center" vertical="center"/>
    </xf>
    <xf numFmtId="172" fontId="7" fillId="7" borderId="152" xfId="0" applyNumberFormat="1" applyFont="1" applyFill="1" applyBorder="1" applyAlignment="1">
      <alignment horizontal="center" vertical="center"/>
    </xf>
    <xf numFmtId="172" fontId="7" fillId="7" borderId="146" xfId="0" applyNumberFormat="1" applyFont="1" applyFill="1" applyBorder="1" applyAlignment="1">
      <alignment horizontal="center" vertical="center"/>
    </xf>
    <xf numFmtId="0" fontId="7" fillId="7" borderId="183" xfId="0" applyFont="1" applyFill="1" applyBorder="1" applyAlignment="1">
      <alignment horizontal="center" vertical="center"/>
    </xf>
    <xf numFmtId="0" fontId="7" fillId="7" borderId="184" xfId="0" applyFont="1" applyFill="1" applyBorder="1" applyAlignment="1">
      <alignment horizontal="center" vertical="center"/>
    </xf>
    <xf numFmtId="0" fontId="7" fillId="7" borderId="147" xfId="0" applyFont="1" applyFill="1" applyBorder="1" applyAlignment="1">
      <alignment horizontal="center" vertical="center"/>
    </xf>
    <xf numFmtId="0" fontId="7" fillId="7" borderId="152" xfId="0" applyFont="1" applyFill="1" applyBorder="1" applyAlignment="1">
      <alignment horizontal="center" vertical="center"/>
    </xf>
    <xf numFmtId="0" fontId="7" fillId="7" borderId="57" xfId="0" applyFont="1" applyFill="1" applyBorder="1" applyAlignment="1">
      <alignment horizontal="center" vertical="center"/>
    </xf>
    <xf numFmtId="0" fontId="7" fillId="7" borderId="126" xfId="0" applyFont="1" applyFill="1" applyBorder="1" applyAlignment="1">
      <alignment horizontal="center" vertical="center"/>
    </xf>
    <xf numFmtId="0" fontId="8" fillId="7" borderId="152" xfId="0" applyFont="1" applyFill="1" applyBorder="1" applyAlignment="1">
      <alignment horizontal="center" vertical="center"/>
    </xf>
    <xf numFmtId="0" fontId="8" fillId="7" borderId="146" xfId="0" applyFont="1" applyFill="1" applyBorder="1" applyAlignment="1">
      <alignment horizontal="center" vertical="center"/>
    </xf>
    <xf numFmtId="0" fontId="8" fillId="7" borderId="45" xfId="0" applyFont="1" applyFill="1" applyBorder="1" applyAlignment="1">
      <alignment horizontal="center" vertical="center"/>
    </xf>
    <xf numFmtId="168" fontId="0" fillId="0" borderId="68" xfId="0" applyNumberFormat="1" applyBorder="1" applyAlignment="1">
      <alignment horizontal="center" vertical="center"/>
    </xf>
    <xf numFmtId="168" fontId="0" fillId="8" borderId="136" xfId="0" applyNumberFormat="1" applyFill="1" applyBorder="1" applyAlignment="1">
      <alignment horizontal="center" vertical="center"/>
    </xf>
    <xf numFmtId="168" fontId="0" fillId="0" borderId="69" xfId="0" applyNumberFormat="1" applyBorder="1" applyAlignment="1">
      <alignment horizontal="center" vertical="center"/>
    </xf>
    <xf numFmtId="0" fontId="0" fillId="9" borderId="185" xfId="0" applyFill="1" applyBorder="1" applyAlignment="1">
      <alignment vertical="center"/>
    </xf>
    <xf numFmtId="172" fontId="0" fillId="9" borderId="71" xfId="0" applyNumberFormat="1" applyFill="1" applyBorder="1" applyAlignment="1">
      <alignment horizontal="center" vertical="center"/>
    </xf>
    <xf numFmtId="168" fontId="0" fillId="0" borderId="73" xfId="0" applyNumberFormat="1" applyBorder="1" applyAlignment="1">
      <alignment horizontal="center" vertical="center"/>
    </xf>
    <xf numFmtId="176" fontId="0" fillId="0" borderId="186" xfId="0" applyNumberFormat="1" applyBorder="1" applyAlignment="1">
      <alignment horizontal="center" vertical="center"/>
    </xf>
    <xf numFmtId="164" fontId="0" fillId="0" borderId="92" xfId="0" applyNumberFormat="1" applyBorder="1" applyAlignment="1">
      <alignment horizontal="center" vertical="center"/>
    </xf>
    <xf numFmtId="168" fontId="0" fillId="0" borderId="66" xfId="0" applyNumberFormat="1" applyBorder="1" applyAlignment="1">
      <alignment horizontal="center" vertical="center"/>
    </xf>
    <xf numFmtId="176" fontId="0" fillId="11" borderId="71" xfId="0" applyNumberFormat="1" applyFill="1" applyBorder="1" applyAlignment="1">
      <alignment horizontal="center" vertical="center"/>
    </xf>
    <xf numFmtId="168" fontId="0" fillId="9" borderId="126" xfId="0" applyNumberFormat="1" applyFill="1" applyBorder="1" applyAlignment="1">
      <alignment horizontal="center" vertical="center"/>
    </xf>
    <xf numFmtId="176" fontId="0" fillId="9" borderId="146" xfId="0" applyNumberFormat="1" applyFill="1" applyBorder="1" applyAlignment="1">
      <alignment horizontal="center" vertical="center"/>
    </xf>
    <xf numFmtId="168" fontId="0" fillId="9" borderId="187" xfId="0" applyNumberFormat="1" applyFill="1" applyBorder="1" applyAlignment="1">
      <alignment horizontal="center" vertical="center"/>
    </xf>
    <xf numFmtId="176" fontId="0" fillId="9" borderId="188" xfId="0" applyNumberFormat="1" applyFill="1" applyBorder="1" applyAlignment="1">
      <alignment horizontal="center" vertical="center"/>
    </xf>
    <xf numFmtId="168" fontId="0" fillId="0" borderId="81" xfId="0" applyNumberFormat="1" applyBorder="1" applyAlignment="1">
      <alignment horizontal="center" vertical="center"/>
    </xf>
    <xf numFmtId="168" fontId="0" fillId="8" borderId="83" xfId="0" applyNumberFormat="1" applyFill="1" applyBorder="1" applyAlignment="1">
      <alignment horizontal="center" vertical="center"/>
    </xf>
    <xf numFmtId="168" fontId="0" fillId="0" borderId="88" xfId="0" applyNumberFormat="1" applyBorder="1" applyAlignment="1">
      <alignment horizontal="center" vertical="center"/>
    </xf>
    <xf numFmtId="0" fontId="0" fillId="9" borderId="189" xfId="0" applyFill="1" applyBorder="1" applyAlignment="1">
      <alignment vertical="center"/>
    </xf>
    <xf numFmtId="172" fontId="0" fillId="9" borderId="90" xfId="0" applyNumberFormat="1" applyFill="1" applyBorder="1" applyAlignment="1">
      <alignment horizontal="center" vertical="center"/>
    </xf>
    <xf numFmtId="176" fontId="0" fillId="0" borderId="190" xfId="0" applyNumberFormat="1" applyBorder="1" applyAlignment="1">
      <alignment horizontal="center" vertical="center"/>
    </xf>
    <xf numFmtId="168" fontId="0" fillId="0" borderId="86" xfId="0" applyNumberFormat="1" applyBorder="1" applyAlignment="1">
      <alignment horizontal="center" vertical="center"/>
    </xf>
    <xf numFmtId="176" fontId="0" fillId="11" borderId="90" xfId="0" applyNumberFormat="1" applyFill="1" applyBorder="1" applyAlignment="1">
      <alignment horizontal="center" vertical="center"/>
    </xf>
    <xf numFmtId="168" fontId="0" fillId="0" borderId="98" xfId="0" applyNumberFormat="1" applyBorder="1" applyAlignment="1">
      <alignment horizontal="center" vertical="center"/>
    </xf>
    <xf numFmtId="0" fontId="0" fillId="9" borderId="99" xfId="0" applyFill="1" applyBorder="1" applyAlignment="1">
      <alignment vertical="center"/>
    </xf>
    <xf numFmtId="0" fontId="8" fillId="7" borderId="11" xfId="0" applyFont="1" applyFill="1" applyBorder="1" applyAlignment="1">
      <alignment horizontal="center" vertical="center"/>
    </xf>
    <xf numFmtId="178" fontId="0" fillId="0" borderId="193" xfId="0" applyNumberFormat="1" applyBorder="1" applyAlignment="1">
      <alignment vertical="center"/>
    </xf>
    <xf numFmtId="178" fontId="0" fillId="0" borderId="92" xfId="0" applyNumberFormat="1" applyBorder="1" applyAlignment="1">
      <alignment vertical="center"/>
    </xf>
    <xf numFmtId="168" fontId="0" fillId="9" borderId="104" xfId="0" applyNumberFormat="1" applyFill="1" applyBorder="1" applyAlignment="1">
      <alignment horizontal="center" vertical="center"/>
    </xf>
    <xf numFmtId="176" fontId="0" fillId="9" borderId="24" xfId="0" applyNumberFormat="1" applyFill="1" applyBorder="1" applyAlignment="1">
      <alignment horizontal="center" vertical="center"/>
    </xf>
    <xf numFmtId="0" fontId="0" fillId="12" borderId="99" xfId="0" applyFill="1" applyBorder="1" applyAlignment="1">
      <alignment vertical="center"/>
    </xf>
    <xf numFmtId="172" fontId="0" fillId="12" borderId="90" xfId="0" applyNumberFormat="1" applyFill="1" applyBorder="1" applyAlignment="1">
      <alignment horizontal="center" vertical="center"/>
    </xf>
    <xf numFmtId="0" fontId="1" fillId="2" borderId="110" xfId="0" quotePrefix="1" applyFont="1" applyFill="1" applyBorder="1" applyAlignment="1">
      <alignment horizontal="center" vertical="center"/>
    </xf>
    <xf numFmtId="0" fontId="1" fillId="2" borderId="111" xfId="0" quotePrefix="1" applyFont="1" applyFill="1" applyBorder="1" applyAlignment="1">
      <alignment horizontal="center" vertical="center"/>
    </xf>
    <xf numFmtId="176" fontId="0" fillId="0" borderId="81" xfId="0" applyNumberFormat="1" applyBorder="1" applyAlignment="1">
      <alignment horizontal="center" vertical="center" wrapText="1"/>
    </xf>
    <xf numFmtId="164" fontId="0" fillId="0" borderId="67" xfId="0" applyNumberFormat="1" applyBorder="1" applyAlignment="1">
      <alignment horizontal="center" vertical="center" wrapText="1"/>
    </xf>
    <xf numFmtId="176" fontId="0" fillId="0" borderId="190" xfId="0" applyNumberFormat="1" applyBorder="1" applyAlignment="1">
      <alignment horizontal="center" vertical="center" wrapText="1"/>
    </xf>
    <xf numFmtId="176" fontId="0" fillId="0" borderId="67" xfId="0" applyNumberFormat="1" applyBorder="1" applyAlignment="1">
      <alignment horizontal="center" vertical="center" wrapText="1"/>
    </xf>
    <xf numFmtId="176" fontId="0" fillId="9" borderId="46" xfId="0" applyNumberFormat="1" applyFill="1" applyBorder="1" applyAlignment="1">
      <alignment horizontal="center" vertical="center"/>
    </xf>
    <xf numFmtId="176" fontId="0" fillId="9" borderId="53" xfId="0" applyNumberFormat="1" applyFill="1" applyBorder="1" applyAlignment="1">
      <alignment horizontal="center" vertical="center"/>
    </xf>
    <xf numFmtId="168" fontId="0" fillId="0" borderId="87" xfId="0" applyNumberFormat="1" applyBorder="1" applyAlignment="1">
      <alignment horizontal="center" vertical="center"/>
    </xf>
    <xf numFmtId="176" fontId="0" fillId="0" borderId="93" xfId="0" applyNumberFormat="1" applyBorder="1" applyAlignment="1">
      <alignment horizontal="center" vertical="center"/>
    </xf>
    <xf numFmtId="0" fontId="0" fillId="0" borderId="99" xfId="0" applyBorder="1" applyAlignment="1">
      <alignment vertical="center"/>
    </xf>
    <xf numFmtId="168" fontId="0" fillId="0" borderId="119" xfId="0" applyNumberFormat="1" applyBorder="1" applyAlignment="1">
      <alignment horizontal="center" vertical="center"/>
    </xf>
    <xf numFmtId="168" fontId="0" fillId="0" borderId="18" xfId="0" applyNumberFormat="1" applyBorder="1" applyAlignment="1">
      <alignment horizontal="center" vertical="center"/>
    </xf>
    <xf numFmtId="164" fontId="0" fillId="0" borderId="122" xfId="0" applyNumberFormat="1" applyBorder="1" applyAlignment="1">
      <alignment horizontal="center" vertical="center"/>
    </xf>
    <xf numFmtId="176" fontId="0" fillId="0" borderId="119" xfId="0" applyNumberFormat="1" applyBorder="1" applyAlignment="1">
      <alignment horizontal="center" vertical="center"/>
    </xf>
    <xf numFmtId="168" fontId="0" fillId="0" borderId="194" xfId="0" applyNumberForma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176" fontId="0" fillId="0" borderId="127" xfId="0" applyNumberFormat="1" applyBorder="1" applyAlignment="1">
      <alignment horizontal="center" vertical="center"/>
    </xf>
    <xf numFmtId="164" fontId="0" fillId="0" borderId="100" xfId="0" applyNumberFormat="1" applyBorder="1" applyAlignment="1">
      <alignment horizontal="center" vertical="center"/>
    </xf>
    <xf numFmtId="176" fontId="0" fillId="0" borderId="195" xfId="0" applyNumberFormat="1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168" fontId="0" fillId="0" borderId="123" xfId="0" applyNumberFormat="1" applyBorder="1" applyAlignment="1">
      <alignment horizontal="center" vertical="center"/>
    </xf>
    <xf numFmtId="176" fontId="0" fillId="0" borderId="30" xfId="0" applyNumberFormat="1" applyBorder="1" applyAlignment="1">
      <alignment horizontal="center" vertical="center"/>
    </xf>
    <xf numFmtId="0" fontId="12" fillId="7" borderId="199" xfId="0" applyFont="1" applyFill="1" applyBorder="1" applyAlignment="1">
      <alignment horizontal="center" vertical="center"/>
    </xf>
    <xf numFmtId="0" fontId="12" fillId="7" borderId="200" xfId="0" applyFont="1" applyFill="1" applyBorder="1" applyAlignment="1">
      <alignment horizontal="center" vertical="center"/>
    </xf>
    <xf numFmtId="177" fontId="0" fillId="10" borderId="152" xfId="0" applyNumberFormat="1" applyFill="1" applyBorder="1" applyAlignment="1">
      <alignment horizontal="center" vertical="center"/>
    </xf>
    <xf numFmtId="177" fontId="0" fillId="10" borderId="126" xfId="0" applyNumberFormat="1" applyFill="1" applyBorder="1"/>
    <xf numFmtId="176" fontId="0" fillId="10" borderId="45" xfId="0" applyNumberFormat="1" applyFill="1" applyBorder="1" applyAlignment="1">
      <alignment horizontal="center" vertical="center"/>
    </xf>
    <xf numFmtId="177" fontId="0" fillId="10" borderId="146" xfId="0" applyNumberFormat="1" applyFill="1" applyBorder="1"/>
    <xf numFmtId="176" fontId="0" fillId="10" borderId="148" xfId="0" applyNumberFormat="1" applyFill="1" applyBorder="1" applyAlignment="1">
      <alignment horizontal="center" vertical="center"/>
    </xf>
    <xf numFmtId="168" fontId="0" fillId="10" borderId="146" xfId="0" applyNumberFormat="1" applyFill="1" applyBorder="1" applyAlignment="1">
      <alignment horizontal="center" vertical="center"/>
    </xf>
    <xf numFmtId="172" fontId="0" fillId="9" borderId="147" xfId="0" applyNumberFormat="1" applyFill="1" applyBorder="1" applyAlignment="1">
      <alignment horizontal="center" vertical="center"/>
    </xf>
    <xf numFmtId="172" fontId="0" fillId="12" borderId="126" xfId="0" applyNumberFormat="1" applyFill="1" applyBorder="1" applyAlignment="1">
      <alignment horizontal="center" vertical="center"/>
    </xf>
    <xf numFmtId="176" fontId="0" fillId="10" borderId="146" xfId="0" applyNumberFormat="1" applyFill="1" applyBorder="1" applyAlignment="1">
      <alignment horizontal="center" vertical="center"/>
    </xf>
    <xf numFmtId="177" fontId="0" fillId="10" borderId="148" xfId="0" applyNumberFormat="1" applyFill="1" applyBorder="1" applyAlignment="1">
      <alignment horizontal="center" vertical="center"/>
    </xf>
    <xf numFmtId="177" fontId="0" fillId="10" borderId="45" xfId="0" applyNumberFormat="1" applyFill="1" applyBorder="1" applyAlignment="1">
      <alignment horizontal="center" vertical="center"/>
    </xf>
    <xf numFmtId="177" fontId="0" fillId="10" borderId="146" xfId="0" applyNumberFormat="1" applyFill="1" applyBorder="1" applyAlignment="1">
      <alignment horizontal="center" vertical="center"/>
    </xf>
    <xf numFmtId="176" fontId="0" fillId="10" borderId="152" xfId="0" applyNumberFormat="1" applyFill="1" applyBorder="1" applyAlignment="1">
      <alignment horizontal="center" vertical="center"/>
    </xf>
    <xf numFmtId="177" fontId="0" fillId="10" borderId="208" xfId="0" applyNumberFormat="1" applyFill="1" applyBorder="1" applyAlignment="1">
      <alignment horizontal="center" vertical="center"/>
    </xf>
    <xf numFmtId="177" fontId="0" fillId="10" borderId="199" xfId="0" applyNumberFormat="1" applyFill="1" applyBorder="1" applyAlignment="1">
      <alignment horizontal="center" vertical="center"/>
    </xf>
    <xf numFmtId="176" fontId="0" fillId="10" borderId="200" xfId="0" applyNumberFormat="1" applyFill="1" applyBorder="1" applyAlignment="1">
      <alignment horizontal="center" vertical="center"/>
    </xf>
    <xf numFmtId="172" fontId="15" fillId="0" borderId="0" xfId="0" applyNumberFormat="1" applyFont="1" applyAlignment="1">
      <alignment horizontal="center" vertical="center"/>
    </xf>
    <xf numFmtId="0" fontId="1" fillId="2" borderId="209" xfId="0" applyFont="1" applyFill="1" applyBorder="1" applyAlignment="1">
      <alignment horizontal="center" vertical="center"/>
    </xf>
    <xf numFmtId="0" fontId="2" fillId="0" borderId="210" xfId="0" applyFont="1" applyBorder="1" applyAlignment="1">
      <alignment horizontal="center" vertical="center"/>
    </xf>
    <xf numFmtId="164" fontId="2" fillId="0" borderId="81" xfId="0" applyNumberFormat="1" applyFont="1" applyBorder="1" applyAlignment="1">
      <alignment horizontal="center" vertical="center"/>
    </xf>
    <xf numFmtId="165" fontId="0" fillId="11" borderId="168" xfId="0" applyNumberFormat="1" applyFill="1" applyBorder="1" applyAlignment="1">
      <alignment horizontal="center" vertical="center"/>
    </xf>
    <xf numFmtId="20" fontId="0" fillId="11" borderId="169" xfId="0" applyNumberFormat="1" applyFill="1" applyBorder="1" applyAlignment="1">
      <alignment horizontal="center" vertical="center"/>
    </xf>
    <xf numFmtId="0" fontId="0" fillId="11" borderId="168" xfId="0" applyFill="1" applyBorder="1" applyAlignment="1">
      <alignment horizontal="center" vertical="center"/>
    </xf>
    <xf numFmtId="0" fontId="0" fillId="11" borderId="170" xfId="0" applyFill="1" applyBorder="1" applyAlignment="1">
      <alignment horizontal="center" vertical="center"/>
    </xf>
    <xf numFmtId="0" fontId="2" fillId="11" borderId="169" xfId="0" applyFont="1" applyFill="1" applyBorder="1" applyAlignment="1">
      <alignment horizontal="center" vertical="center"/>
    </xf>
    <xf numFmtId="166" fontId="2" fillId="11" borderId="171" xfId="0" applyNumberFormat="1" applyFont="1" applyFill="1" applyBorder="1" applyAlignment="1">
      <alignment horizontal="center" vertical="center" wrapText="1"/>
    </xf>
    <xf numFmtId="0" fontId="0" fillId="0" borderId="70" xfId="0" applyBorder="1" applyAlignment="1">
      <alignment vertical="center"/>
    </xf>
    <xf numFmtId="172" fontId="0" fillId="0" borderId="76" xfId="0" applyNumberFormat="1" applyBorder="1" applyAlignment="1">
      <alignment horizontal="center" vertical="center"/>
    </xf>
    <xf numFmtId="176" fontId="0" fillId="0" borderId="76" xfId="0" applyNumberFormat="1" applyBorder="1" applyAlignment="1">
      <alignment horizontal="center" vertical="center"/>
    </xf>
    <xf numFmtId="0" fontId="0" fillId="0" borderId="89" xfId="0" applyBorder="1" applyAlignment="1">
      <alignment vertical="center"/>
    </xf>
    <xf numFmtId="172" fontId="0" fillId="13" borderId="90" xfId="0" applyNumberFormat="1" applyFill="1" applyBorder="1" applyAlignment="1">
      <alignment horizontal="center" vertical="center"/>
    </xf>
    <xf numFmtId="164" fontId="0" fillId="14" borderId="118" xfId="0" applyNumberFormat="1" applyFill="1" applyBorder="1" applyAlignment="1">
      <alignment horizontal="center" vertical="center"/>
    </xf>
    <xf numFmtId="172" fontId="0" fillId="13" borderId="147" xfId="0" applyNumberFormat="1" applyFill="1" applyBorder="1" applyAlignment="1">
      <alignment horizontal="center" vertical="center"/>
    </xf>
    <xf numFmtId="0" fontId="1" fillId="2" borderId="211" xfId="0" applyFont="1" applyFill="1" applyBorder="1" applyAlignment="1">
      <alignment horizontal="center" vertical="center"/>
    </xf>
    <xf numFmtId="0" fontId="1" fillId="2" borderId="212" xfId="0" applyFont="1" applyFill="1" applyBorder="1" applyAlignment="1">
      <alignment horizontal="center" vertical="center"/>
    </xf>
    <xf numFmtId="0" fontId="1" fillId="2" borderId="213" xfId="0" applyFont="1" applyFill="1" applyBorder="1" applyAlignment="1">
      <alignment horizontal="center" vertical="center"/>
    </xf>
    <xf numFmtId="0" fontId="1" fillId="2" borderId="214" xfId="0" applyFont="1" applyFill="1" applyBorder="1" applyAlignment="1">
      <alignment horizontal="center" vertical="center"/>
    </xf>
    <xf numFmtId="0" fontId="1" fillId="2" borderId="146" xfId="0" applyFont="1" applyFill="1" applyBorder="1" applyAlignment="1">
      <alignment horizontal="center" vertical="center"/>
    </xf>
    <xf numFmtId="164" fontId="2" fillId="3" borderId="215" xfId="0" applyNumberFormat="1" applyFont="1" applyFill="1" applyBorder="1" applyAlignment="1">
      <alignment horizontal="center" vertical="center"/>
    </xf>
    <xf numFmtId="165" fontId="2" fillId="3" borderId="216" xfId="0" applyNumberFormat="1" applyFont="1" applyFill="1" applyBorder="1" applyAlignment="1">
      <alignment horizontal="center" vertical="center"/>
    </xf>
    <xf numFmtId="165" fontId="2" fillId="3" borderId="217" xfId="0" applyNumberFormat="1" applyFont="1" applyFill="1" applyBorder="1" applyAlignment="1">
      <alignment horizontal="center" vertical="center"/>
    </xf>
    <xf numFmtId="165" fontId="2" fillId="3" borderId="218" xfId="0" applyNumberFormat="1" applyFont="1" applyFill="1" applyBorder="1" applyAlignment="1">
      <alignment horizontal="center" vertical="center"/>
    </xf>
    <xf numFmtId="20" fontId="2" fillId="3" borderId="216" xfId="0" applyNumberFormat="1" applyFont="1" applyFill="1" applyBorder="1" applyAlignment="1">
      <alignment horizontal="center" vertical="center" wrapText="1"/>
    </xf>
    <xf numFmtId="0" fontId="2" fillId="3" borderId="217" xfId="0" applyFont="1" applyFill="1" applyBorder="1" applyAlignment="1">
      <alignment horizontal="center" vertical="center"/>
    </xf>
    <xf numFmtId="0" fontId="0" fillId="3" borderId="219" xfId="0" applyFill="1" applyBorder="1" applyAlignment="1">
      <alignment horizontal="center" vertical="center"/>
    </xf>
    <xf numFmtId="165" fontId="2" fillId="3" borderId="220" xfId="0" applyNumberFormat="1" applyFont="1" applyFill="1" applyBorder="1" applyAlignment="1">
      <alignment horizontal="center" vertical="center"/>
    </xf>
    <xf numFmtId="0" fontId="2" fillId="3" borderId="35" xfId="0" applyFont="1" applyFill="1" applyBorder="1" applyAlignment="1">
      <alignment horizontal="center" vertical="center"/>
    </xf>
    <xf numFmtId="0" fontId="2" fillId="3" borderId="220" xfId="0" applyFont="1" applyFill="1" applyBorder="1" applyAlignment="1">
      <alignment horizontal="center" vertical="center"/>
    </xf>
    <xf numFmtId="166" fontId="2" fillId="3" borderId="217" xfId="0" applyNumberFormat="1" applyFont="1" applyFill="1" applyBorder="1" applyAlignment="1">
      <alignment horizontal="center" vertical="center" wrapText="1"/>
    </xf>
    <xf numFmtId="166" fontId="2" fillId="3" borderId="220" xfId="0" applyNumberFormat="1" applyFont="1" applyFill="1" applyBorder="1" applyAlignment="1">
      <alignment horizontal="center" vertical="center" wrapText="1"/>
    </xf>
    <xf numFmtId="165" fontId="2" fillId="8" borderId="221" xfId="0" applyNumberFormat="1" applyFont="1" applyFill="1" applyBorder="1" applyAlignment="1">
      <alignment horizontal="center" vertical="center"/>
    </xf>
    <xf numFmtId="20" fontId="2" fillId="0" borderId="158" xfId="0" applyNumberFormat="1" applyFont="1" applyBorder="1" applyAlignment="1">
      <alignment horizontal="center" vertical="center" wrapText="1"/>
    </xf>
    <xf numFmtId="165" fontId="2" fillId="0" borderId="160" xfId="0" applyNumberFormat="1" applyFont="1" applyBorder="1" applyAlignment="1">
      <alignment horizontal="center" vertical="center"/>
    </xf>
    <xf numFmtId="0" fontId="2" fillId="0" borderId="221" xfId="0" applyFont="1" applyBorder="1" applyAlignment="1">
      <alignment horizontal="center" vertical="center"/>
    </xf>
    <xf numFmtId="0" fontId="2" fillId="0" borderId="158" xfId="0" applyFont="1" applyBorder="1" applyAlignment="1">
      <alignment horizontal="center" vertical="center"/>
    </xf>
    <xf numFmtId="166" fontId="2" fillId="0" borderId="159" xfId="0" applyNumberFormat="1" applyFont="1" applyBorder="1" applyAlignment="1">
      <alignment horizontal="center" vertical="center" wrapText="1"/>
    </xf>
    <xf numFmtId="165" fontId="2" fillId="3" borderId="221" xfId="0" applyNumberFormat="1" applyFont="1" applyFill="1" applyBorder="1" applyAlignment="1">
      <alignment horizontal="center" vertical="center"/>
    </xf>
    <xf numFmtId="20" fontId="2" fillId="3" borderId="162" xfId="0" applyNumberFormat="1" applyFont="1" applyFill="1" applyBorder="1" applyAlignment="1">
      <alignment horizontal="center" vertical="center" wrapText="1"/>
    </xf>
    <xf numFmtId="165" fontId="2" fillId="3" borderId="163" xfId="0" applyNumberFormat="1" applyFont="1" applyFill="1" applyBorder="1" applyAlignment="1">
      <alignment horizontal="center" vertical="center"/>
    </xf>
    <xf numFmtId="0" fontId="2" fillId="3" borderId="221" xfId="0" applyFont="1" applyFill="1" applyBorder="1" applyAlignment="1">
      <alignment horizontal="center" vertical="center"/>
    </xf>
    <xf numFmtId="0" fontId="2" fillId="3" borderId="162" xfId="0" applyFont="1" applyFill="1" applyBorder="1" applyAlignment="1">
      <alignment horizontal="center" vertical="center"/>
    </xf>
    <xf numFmtId="166" fontId="2" fillId="3" borderId="159" xfId="0" applyNumberFormat="1" applyFont="1" applyFill="1" applyBorder="1" applyAlignment="1">
      <alignment horizontal="center" vertical="center" wrapText="1"/>
    </xf>
    <xf numFmtId="0" fontId="2" fillId="8" borderId="162" xfId="0" applyFont="1" applyFill="1" applyBorder="1" applyAlignment="1">
      <alignment horizontal="center" vertical="center"/>
    </xf>
    <xf numFmtId="0" fontId="0" fillId="3" borderId="162" xfId="0" applyFill="1" applyBorder="1" applyAlignment="1">
      <alignment horizontal="center" vertical="center"/>
    </xf>
    <xf numFmtId="0" fontId="0" fillId="0" borderId="158" xfId="0" applyBorder="1" applyAlignment="1">
      <alignment horizontal="center" vertical="center"/>
    </xf>
    <xf numFmtId="0" fontId="2" fillId="8" borderId="22" xfId="0" applyFont="1" applyFill="1" applyBorder="1" applyAlignment="1">
      <alignment horizontal="center" vertical="center"/>
    </xf>
    <xf numFmtId="20" fontId="2" fillId="8" borderId="163" xfId="0" applyNumberFormat="1" applyFont="1" applyFill="1" applyBorder="1" applyAlignment="1">
      <alignment horizontal="center" vertical="center"/>
    </xf>
    <xf numFmtId="20" fontId="0" fillId="0" borderId="158" xfId="0" applyNumberFormat="1" applyBorder="1" applyAlignment="1">
      <alignment horizontal="center" vertical="center"/>
    </xf>
    <xf numFmtId="20" fontId="0" fillId="3" borderId="162" xfId="0" applyNumberFormat="1" applyFill="1" applyBorder="1" applyAlignment="1">
      <alignment horizontal="center" vertical="center"/>
    </xf>
    <xf numFmtId="165" fontId="0" fillId="0" borderId="158" xfId="0" applyNumberFormat="1" applyBorder="1" applyAlignment="1">
      <alignment horizontal="center" vertical="center"/>
    </xf>
    <xf numFmtId="0" fontId="2" fillId="0" borderId="222" xfId="0" applyFont="1" applyBorder="1" applyAlignment="1">
      <alignment horizontal="center" vertical="center"/>
    </xf>
    <xf numFmtId="166" fontId="2" fillId="8" borderId="22" xfId="0" applyNumberFormat="1" applyFont="1" applyFill="1" applyBorder="1" applyAlignment="1">
      <alignment horizontal="center" vertical="center" wrapText="1"/>
    </xf>
    <xf numFmtId="0" fontId="2" fillId="3" borderId="223" xfId="0" applyFont="1" applyFill="1" applyBorder="1" applyAlignment="1">
      <alignment horizontal="center" vertical="center"/>
    </xf>
    <xf numFmtId="166" fontId="2" fillId="3" borderId="169" xfId="0" applyNumberFormat="1" applyFont="1" applyFill="1" applyBorder="1" applyAlignment="1">
      <alignment horizontal="center" vertical="center" wrapText="1"/>
    </xf>
    <xf numFmtId="165" fontId="2" fillId="9" borderId="221" xfId="0" applyNumberFormat="1" applyFont="1" applyFill="1" applyBorder="1" applyAlignment="1">
      <alignment horizontal="center" vertical="center"/>
    </xf>
    <xf numFmtId="0" fontId="0" fillId="3" borderId="224" xfId="0" applyFill="1" applyBorder="1" applyAlignment="1">
      <alignment horizontal="center" vertical="center"/>
    </xf>
    <xf numFmtId="165" fontId="2" fillId="3" borderId="225" xfId="0" applyNumberFormat="1" applyFont="1" applyFill="1" applyBorder="1" applyAlignment="1">
      <alignment horizontal="center" vertical="center"/>
    </xf>
    <xf numFmtId="20" fontId="0" fillId="11" borderId="150" xfId="0" applyNumberFormat="1" applyFill="1" applyBorder="1" applyAlignment="1">
      <alignment horizontal="center" vertical="center"/>
    </xf>
    <xf numFmtId="165" fontId="0" fillId="11" borderId="169" xfId="0" applyNumberFormat="1" applyFill="1" applyBorder="1" applyAlignment="1">
      <alignment horizontal="center" vertical="center"/>
    </xf>
    <xf numFmtId="172" fontId="0" fillId="10" borderId="147" xfId="0" applyNumberFormat="1" applyFill="1" applyBorder="1" applyAlignment="1">
      <alignment horizontal="center" vertical="center"/>
    </xf>
    <xf numFmtId="0" fontId="1" fillId="2" borderId="35" xfId="0" applyFont="1" applyFill="1" applyBorder="1" applyAlignment="1">
      <alignment horizontal="center" vertical="center"/>
    </xf>
    <xf numFmtId="20" fontId="0" fillId="0" borderId="159" xfId="0" quotePrefix="1" applyNumberFormat="1" applyBorder="1" applyAlignment="1">
      <alignment horizontal="center" vertical="center"/>
    </xf>
    <xf numFmtId="0" fontId="2" fillId="0" borderId="0" xfId="0" applyFont="1" applyAlignment="1">
      <alignment vertical="center"/>
    </xf>
    <xf numFmtId="169" fontId="0" fillId="0" borderId="0" xfId="0" applyNumberFormat="1"/>
    <xf numFmtId="0" fontId="0" fillId="15" borderId="99" xfId="0" applyFill="1" applyBorder="1" applyAlignment="1">
      <alignment vertical="center"/>
    </xf>
    <xf numFmtId="172" fontId="0" fillId="15" borderId="90" xfId="0" applyNumberFormat="1" applyFill="1" applyBorder="1" applyAlignment="1">
      <alignment horizontal="center" vertical="center"/>
    </xf>
    <xf numFmtId="172" fontId="0" fillId="15" borderId="126" xfId="0" applyNumberFormat="1" applyFill="1" applyBorder="1" applyAlignment="1">
      <alignment horizontal="center" vertical="center"/>
    </xf>
    <xf numFmtId="167" fontId="0" fillId="0" borderId="0" xfId="0" applyNumberFormat="1" applyAlignment="1">
      <alignment horizontal="center" vertical="center"/>
    </xf>
    <xf numFmtId="167" fontId="2" fillId="3" borderId="11" xfId="0" applyNumberFormat="1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167" fontId="2" fillId="3" borderId="35" xfId="0" applyNumberFormat="1" applyFont="1" applyFill="1" applyBorder="1" applyAlignment="1">
      <alignment horizontal="center" vertical="center"/>
    </xf>
    <xf numFmtId="165" fontId="2" fillId="3" borderId="35" xfId="0" applyNumberFormat="1" applyFont="1" applyFill="1" applyBorder="1" applyAlignment="1">
      <alignment horizontal="center" vertical="center"/>
    </xf>
    <xf numFmtId="165" fontId="2" fillId="0" borderId="0" xfId="0" applyNumberFormat="1" applyFont="1" applyAlignment="1">
      <alignment horizontal="center" vertical="center"/>
    </xf>
    <xf numFmtId="165" fontId="2" fillId="3" borderId="59" xfId="0" applyNumberFormat="1" applyFont="1" applyFill="1" applyBorder="1" applyAlignment="1">
      <alignment horizontal="center" vertical="center"/>
    </xf>
    <xf numFmtId="0" fontId="2" fillId="0" borderId="228" xfId="0" applyFont="1" applyBorder="1" applyAlignment="1">
      <alignment horizontal="center" vertical="center"/>
    </xf>
    <xf numFmtId="171" fontId="2" fillId="3" borderId="59" xfId="0" applyNumberFormat="1" applyFont="1" applyFill="1" applyBorder="1" applyAlignment="1">
      <alignment horizontal="center" vertical="center"/>
    </xf>
    <xf numFmtId="0" fontId="2" fillId="0" borderId="229" xfId="0" applyFont="1" applyBorder="1" applyAlignment="1">
      <alignment horizontal="center" vertical="center"/>
    </xf>
    <xf numFmtId="169" fontId="2" fillId="3" borderId="35" xfId="0" applyNumberFormat="1" applyFont="1" applyFill="1" applyBorder="1" applyAlignment="1">
      <alignment horizontal="center" vertical="center"/>
    </xf>
    <xf numFmtId="172" fontId="2" fillId="3" borderId="35" xfId="0" applyNumberFormat="1" applyFont="1" applyFill="1" applyBorder="1" applyAlignment="1">
      <alignment horizontal="center" vertical="center"/>
    </xf>
    <xf numFmtId="171" fontId="2" fillId="3" borderId="35" xfId="0" applyNumberFormat="1" applyFont="1" applyFill="1" applyBorder="1" applyAlignment="1">
      <alignment horizontal="center" vertical="center"/>
    </xf>
    <xf numFmtId="171" fontId="2" fillId="0" borderId="0" xfId="0" applyNumberFormat="1" applyFont="1" applyAlignment="1">
      <alignment horizontal="center" vertical="center"/>
    </xf>
    <xf numFmtId="168" fontId="2" fillId="3" borderId="35" xfId="0" applyNumberFormat="1" applyFont="1" applyFill="1" applyBorder="1" applyAlignment="1">
      <alignment horizontal="center" vertical="center"/>
    </xf>
    <xf numFmtId="0" fontId="16" fillId="3" borderId="22" xfId="0" applyFont="1" applyFill="1" applyBorder="1" applyAlignment="1">
      <alignment horizontal="center" vertical="center"/>
    </xf>
    <xf numFmtId="1" fontId="0" fillId="0" borderId="0" xfId="0" applyNumberFormat="1" applyAlignment="1">
      <alignment horizontal="center" vertical="center"/>
    </xf>
    <xf numFmtId="168" fontId="0" fillId="15" borderId="215" xfId="0" applyNumberFormat="1" applyFill="1" applyBorder="1" applyAlignment="1">
      <alignment horizontal="center" vertical="center"/>
    </xf>
    <xf numFmtId="164" fontId="0" fillId="15" borderId="82" xfId="0" applyNumberFormat="1" applyFill="1" applyBorder="1" applyAlignment="1">
      <alignment horizontal="center" vertical="center"/>
    </xf>
    <xf numFmtId="168" fontId="0" fillId="15" borderId="136" xfId="0" applyNumberFormat="1" applyFill="1" applyBorder="1" applyAlignment="1">
      <alignment horizontal="center" vertical="center"/>
    </xf>
    <xf numFmtId="172" fontId="0" fillId="11" borderId="63" xfId="0" applyNumberFormat="1" applyFill="1" applyBorder="1" applyAlignment="1">
      <alignment horizontal="center" vertical="center"/>
    </xf>
    <xf numFmtId="172" fontId="0" fillId="11" borderId="65" xfId="0" applyNumberFormat="1" applyFill="1" applyBorder="1" applyAlignment="1">
      <alignment horizontal="center" vertical="center"/>
    </xf>
    <xf numFmtId="172" fontId="0" fillId="15" borderId="82" xfId="0" applyNumberFormat="1" applyFill="1" applyBorder="1" applyAlignment="1">
      <alignment horizontal="center" vertical="center"/>
    </xf>
    <xf numFmtId="172" fontId="0" fillId="15" borderId="136" xfId="0" applyNumberFormat="1" applyFill="1" applyBorder="1" applyAlignment="1">
      <alignment horizontal="center" vertical="center"/>
    </xf>
    <xf numFmtId="176" fontId="0" fillId="11" borderId="215" xfId="0" applyNumberFormat="1" applyFill="1" applyBorder="1" applyAlignment="1">
      <alignment horizontal="center" vertical="center"/>
    </xf>
    <xf numFmtId="164" fontId="0" fillId="11" borderId="82" xfId="0" applyNumberFormat="1" applyFill="1" applyBorder="1" applyAlignment="1">
      <alignment horizontal="center" vertical="center"/>
    </xf>
    <xf numFmtId="172" fontId="0" fillId="11" borderId="136" xfId="0" applyNumberFormat="1" applyFill="1" applyBorder="1" applyAlignment="1">
      <alignment horizontal="center" vertical="center"/>
    </xf>
    <xf numFmtId="168" fontId="0" fillId="15" borderId="230" xfId="0" applyNumberFormat="1" applyFill="1" applyBorder="1" applyAlignment="1">
      <alignment horizontal="center" vertical="center"/>
    </xf>
    <xf numFmtId="0" fontId="0" fillId="15" borderId="185" xfId="0" applyFill="1" applyBorder="1" applyAlignment="1">
      <alignment vertical="center"/>
    </xf>
    <xf numFmtId="172" fontId="0" fillId="15" borderId="71" xfId="0" applyNumberFormat="1" applyFill="1" applyBorder="1" applyAlignment="1">
      <alignment horizontal="center" vertical="center"/>
    </xf>
    <xf numFmtId="172" fontId="0" fillId="11" borderId="146" xfId="0" applyNumberFormat="1" applyFill="1" applyBorder="1" applyAlignment="1">
      <alignment horizontal="center" vertical="center"/>
    </xf>
    <xf numFmtId="168" fontId="0" fillId="11" borderId="148" xfId="0" applyNumberFormat="1" applyFill="1" applyBorder="1" applyAlignment="1">
      <alignment horizontal="center" vertical="center"/>
    </xf>
    <xf numFmtId="176" fontId="0" fillId="15" borderId="82" xfId="0" applyNumberFormat="1" applyFill="1" applyBorder="1" applyAlignment="1">
      <alignment horizontal="center" vertical="center"/>
    </xf>
    <xf numFmtId="164" fontId="0" fillId="15" borderId="65" xfId="0" applyNumberFormat="1" applyFill="1" applyBorder="1" applyAlignment="1">
      <alignment horizontal="center" vertical="center"/>
    </xf>
    <xf numFmtId="176" fontId="0" fillId="11" borderId="82" xfId="0" applyNumberFormat="1" applyFill="1" applyBorder="1" applyAlignment="1">
      <alignment horizontal="center" vertical="center"/>
    </xf>
    <xf numFmtId="164" fontId="0" fillId="11" borderId="136" xfId="0" applyNumberFormat="1" applyFill="1" applyBorder="1" applyAlignment="1">
      <alignment horizontal="center" vertical="center"/>
    </xf>
    <xf numFmtId="176" fontId="0" fillId="15" borderId="215" xfId="0" applyNumberFormat="1" applyFill="1" applyBorder="1" applyAlignment="1">
      <alignment horizontal="center" vertical="center"/>
    </xf>
    <xf numFmtId="164" fontId="0" fillId="15" borderId="136" xfId="0" applyNumberFormat="1" applyFill="1" applyBorder="1" applyAlignment="1">
      <alignment horizontal="center" vertical="center"/>
    </xf>
    <xf numFmtId="176" fontId="0" fillId="11" borderId="186" xfId="0" applyNumberFormat="1" applyFill="1" applyBorder="1" applyAlignment="1">
      <alignment horizontal="center" vertical="center"/>
    </xf>
    <xf numFmtId="164" fontId="0" fillId="11" borderId="231" xfId="0" applyNumberFormat="1" applyFill="1" applyBorder="1" applyAlignment="1">
      <alignment horizontal="center" vertical="center"/>
    </xf>
    <xf numFmtId="168" fontId="0" fillId="11" borderId="82" xfId="0" applyNumberFormat="1" applyFill="1" applyBorder="1" applyAlignment="1">
      <alignment horizontal="center" vertical="center"/>
    </xf>
    <xf numFmtId="164" fontId="0" fillId="11" borderId="232" xfId="0" applyNumberFormat="1" applyFill="1" applyBorder="1" applyAlignment="1">
      <alignment horizontal="center" vertical="center"/>
    </xf>
    <xf numFmtId="185" fontId="0" fillId="15" borderId="81" xfId="0" applyNumberFormat="1" applyFill="1" applyBorder="1" applyAlignment="1">
      <alignment horizontal="center" vertical="center"/>
    </xf>
    <xf numFmtId="168" fontId="0" fillId="15" borderId="83" xfId="0" applyNumberFormat="1" applyFill="1" applyBorder="1" applyAlignment="1">
      <alignment horizontal="center" vertical="center"/>
    </xf>
    <xf numFmtId="172" fontId="0" fillId="11" borderId="85" xfId="0" applyNumberFormat="1" applyFill="1" applyBorder="1" applyAlignment="1">
      <alignment horizontal="center" vertical="center"/>
    </xf>
    <xf numFmtId="172" fontId="0" fillId="15" borderId="233" xfId="0" applyNumberFormat="1" applyFill="1" applyBorder="1" applyAlignment="1">
      <alignment horizontal="center" vertical="center"/>
    </xf>
    <xf numFmtId="172" fontId="0" fillId="15" borderId="83" xfId="0" applyNumberFormat="1" applyFill="1" applyBorder="1" applyAlignment="1">
      <alignment horizontal="center" vertical="center"/>
    </xf>
    <xf numFmtId="172" fontId="0" fillId="11" borderId="81" xfId="0" applyNumberFormat="1" applyFill="1" applyBorder="1" applyAlignment="1">
      <alignment horizontal="center" vertical="center"/>
    </xf>
    <xf numFmtId="172" fontId="0" fillId="11" borderId="83" xfId="0" applyNumberFormat="1" applyFill="1" applyBorder="1" applyAlignment="1">
      <alignment horizontal="center" vertical="center"/>
    </xf>
    <xf numFmtId="168" fontId="0" fillId="15" borderId="88" xfId="0" applyNumberFormat="1" applyFill="1" applyBorder="1" applyAlignment="1">
      <alignment horizontal="center" vertical="center"/>
    </xf>
    <xf numFmtId="0" fontId="0" fillId="15" borderId="189" xfId="0" applyFill="1" applyBorder="1" applyAlignment="1">
      <alignment vertical="center"/>
    </xf>
    <xf numFmtId="178" fontId="0" fillId="11" borderId="62" xfId="0" applyNumberFormat="1" applyFill="1" applyBorder="1" applyAlignment="1">
      <alignment horizontal="center" vertical="center"/>
    </xf>
    <xf numFmtId="178" fontId="0" fillId="11" borderId="231" xfId="0" applyNumberFormat="1" applyFill="1" applyBorder="1" applyAlignment="1">
      <alignment vertical="center"/>
    </xf>
    <xf numFmtId="176" fontId="0" fillId="15" borderId="233" xfId="0" applyNumberFormat="1" applyFill="1" applyBorder="1" applyAlignment="1">
      <alignment horizontal="center" vertical="center"/>
    </xf>
    <xf numFmtId="176" fontId="0" fillId="11" borderId="233" xfId="0" applyNumberFormat="1" applyFill="1" applyBorder="1" applyAlignment="1">
      <alignment horizontal="center" vertical="center"/>
    </xf>
    <xf numFmtId="176" fontId="0" fillId="15" borderId="81" xfId="0" applyNumberFormat="1" applyFill="1" applyBorder="1" applyAlignment="1">
      <alignment horizontal="center" vertical="center"/>
    </xf>
    <xf numFmtId="176" fontId="0" fillId="11" borderId="234" xfId="0" applyNumberFormat="1" applyFill="1" applyBorder="1" applyAlignment="1">
      <alignment horizontal="center" vertical="center"/>
    </xf>
    <xf numFmtId="164" fontId="0" fillId="11" borderId="65" xfId="0" applyNumberFormat="1" applyFill="1" applyBorder="1" applyAlignment="1">
      <alignment horizontal="center" vertical="center"/>
    </xf>
    <xf numFmtId="168" fontId="0" fillId="11" borderId="233" xfId="0" applyNumberFormat="1" applyFill="1" applyBorder="1" applyAlignment="1">
      <alignment horizontal="center" vertical="center"/>
    </xf>
    <xf numFmtId="168" fontId="0" fillId="15" borderId="81" xfId="0" applyNumberFormat="1" applyFill="1" applyBorder="1" applyAlignment="1">
      <alignment horizontal="center" vertical="center"/>
    </xf>
    <xf numFmtId="168" fontId="0" fillId="15" borderId="235" xfId="0" applyNumberFormat="1" applyFill="1" applyBorder="1" applyAlignment="1">
      <alignment horizontal="center" vertical="center"/>
    </xf>
    <xf numFmtId="0" fontId="0" fillId="15" borderId="99" xfId="0" applyFill="1" applyBorder="1" applyAlignment="1">
      <alignment horizontal="center" vertical="center"/>
    </xf>
    <xf numFmtId="172" fontId="0" fillId="11" borderId="24" xfId="0" applyNumberFormat="1" applyFill="1" applyBorder="1" applyAlignment="1">
      <alignment vertical="center"/>
    </xf>
    <xf numFmtId="172" fontId="0" fillId="11" borderId="236" xfId="0" applyNumberFormat="1" applyFill="1" applyBorder="1" applyAlignment="1">
      <alignment vertical="center"/>
    </xf>
    <xf numFmtId="176" fontId="0" fillId="16" borderId="90" xfId="0" applyNumberFormat="1" applyFill="1" applyBorder="1" applyAlignment="1">
      <alignment horizontal="center" vertical="center"/>
    </xf>
    <xf numFmtId="178" fontId="0" fillId="11" borderId="61" xfId="0" applyNumberFormat="1" applyFill="1" applyBorder="1" applyAlignment="1">
      <alignment vertical="center"/>
    </xf>
    <xf numFmtId="176" fontId="0" fillId="11" borderId="81" xfId="0" applyNumberFormat="1" applyFill="1" applyBorder="1" applyAlignment="1">
      <alignment horizontal="center" vertical="center"/>
    </xf>
    <xf numFmtId="176" fontId="0" fillId="11" borderId="83" xfId="0" applyNumberFormat="1" applyFill="1" applyBorder="1" applyAlignment="1">
      <alignment horizontal="center" vertical="center"/>
    </xf>
    <xf numFmtId="173" fontId="0" fillId="11" borderId="113" xfId="0" applyNumberFormat="1" applyFill="1" applyBorder="1" applyAlignment="1">
      <alignment horizontal="center" vertical="center"/>
    </xf>
    <xf numFmtId="176" fontId="0" fillId="11" borderId="136" xfId="0" applyNumberFormat="1" applyFill="1" applyBorder="1" applyAlignment="1">
      <alignment horizontal="center" vertical="center"/>
    </xf>
    <xf numFmtId="173" fontId="0" fillId="11" borderId="237" xfId="0" applyNumberFormat="1" applyFill="1" applyBorder="1" applyAlignment="1">
      <alignment horizontal="center" vertical="center"/>
    </xf>
    <xf numFmtId="176" fontId="0" fillId="15" borderId="81" xfId="0" applyNumberFormat="1" applyFill="1" applyBorder="1" applyAlignment="1">
      <alignment horizontal="center" vertical="center" wrapText="1"/>
    </xf>
    <xf numFmtId="164" fontId="0" fillId="15" borderId="136" xfId="0" applyNumberFormat="1" applyFill="1" applyBorder="1" applyAlignment="1">
      <alignment horizontal="center" vertical="center" wrapText="1"/>
    </xf>
    <xf numFmtId="176" fontId="0" fillId="11" borderId="234" xfId="0" applyNumberFormat="1" applyFill="1" applyBorder="1" applyAlignment="1">
      <alignment horizontal="center" vertical="center" wrapText="1"/>
    </xf>
    <xf numFmtId="164" fontId="0" fillId="11" borderId="65" xfId="0" applyNumberFormat="1" applyFill="1" applyBorder="1" applyAlignment="1">
      <alignment horizontal="center" vertical="center" wrapText="1"/>
    </xf>
    <xf numFmtId="176" fontId="0" fillId="15" borderId="82" xfId="0" applyNumberFormat="1" applyFill="1" applyBorder="1" applyAlignment="1">
      <alignment horizontal="center" vertical="center" wrapText="1"/>
    </xf>
    <xf numFmtId="172" fontId="0" fillId="15" borderId="83" xfId="0" applyNumberFormat="1" applyFill="1" applyBorder="1" applyAlignment="1">
      <alignment horizontal="center" vertical="center" wrapText="1"/>
    </xf>
    <xf numFmtId="172" fontId="0" fillId="11" borderId="84" xfId="0" applyNumberFormat="1" applyFill="1" applyBorder="1" applyAlignment="1">
      <alignment horizontal="center"/>
    </xf>
    <xf numFmtId="176" fontId="0" fillId="15" borderId="90" xfId="0" applyNumberFormat="1" applyFill="1" applyBorder="1" applyAlignment="1">
      <alignment horizontal="center" vertical="center"/>
    </xf>
    <xf numFmtId="168" fontId="0" fillId="15" borderId="238" xfId="0" applyNumberFormat="1" applyFill="1" applyBorder="1" applyAlignment="1">
      <alignment horizontal="center" vertical="center"/>
    </xf>
    <xf numFmtId="164" fontId="0" fillId="15" borderId="57" xfId="0" applyNumberFormat="1" applyFill="1" applyBorder="1" applyAlignment="1">
      <alignment horizontal="center" vertical="center"/>
    </xf>
    <xf numFmtId="168" fontId="0" fillId="15" borderId="24" xfId="0" applyNumberFormat="1" applyFill="1" applyBorder="1" applyAlignment="1">
      <alignment horizontal="center" vertical="center"/>
    </xf>
    <xf numFmtId="172" fontId="0" fillId="11" borderId="239" xfId="0" applyNumberFormat="1" applyFill="1" applyBorder="1" applyAlignment="1">
      <alignment horizontal="center" vertical="center"/>
    </xf>
    <xf numFmtId="164" fontId="0" fillId="11" borderId="218" xfId="0" applyNumberFormat="1" applyFill="1" applyBorder="1" applyAlignment="1">
      <alignment horizontal="center" vertical="center"/>
    </xf>
    <xf numFmtId="172" fontId="0" fillId="11" borderId="236" xfId="0" applyNumberFormat="1" applyFill="1" applyBorder="1" applyAlignment="1">
      <alignment horizontal="center" vertical="center"/>
    </xf>
    <xf numFmtId="172" fontId="0" fillId="15" borderId="104" xfId="0" applyNumberFormat="1" applyFill="1" applyBorder="1" applyAlignment="1">
      <alignment horizontal="center" vertical="center"/>
    </xf>
    <xf numFmtId="172" fontId="0" fillId="15" borderId="24" xfId="0" applyNumberFormat="1" applyFill="1" applyBorder="1" applyAlignment="1">
      <alignment horizontal="center" vertical="center"/>
    </xf>
    <xf numFmtId="176" fontId="0" fillId="11" borderId="238" xfId="0" applyNumberFormat="1" applyFill="1" applyBorder="1" applyAlignment="1">
      <alignment horizontal="center" vertical="center"/>
    </xf>
    <xf numFmtId="164" fontId="0" fillId="11" borderId="57" xfId="0" applyNumberFormat="1" applyFill="1" applyBorder="1" applyAlignment="1">
      <alignment horizontal="center" vertical="center"/>
    </xf>
    <xf numFmtId="172" fontId="0" fillId="11" borderId="24" xfId="0" applyNumberFormat="1" applyFill="1" applyBorder="1" applyAlignment="1">
      <alignment horizontal="center" vertical="center"/>
    </xf>
    <xf numFmtId="168" fontId="0" fillId="15" borderId="240" xfId="0" applyNumberFormat="1" applyFill="1" applyBorder="1" applyAlignment="1">
      <alignment horizontal="center" vertical="center"/>
    </xf>
    <xf numFmtId="0" fontId="0" fillId="15" borderId="23" xfId="0" applyFill="1" applyBorder="1" applyAlignment="1">
      <alignment horizontal="center" vertical="center"/>
    </xf>
    <xf numFmtId="176" fontId="0" fillId="15" borderId="241" xfId="0" applyNumberFormat="1" applyFill="1" applyBorder="1" applyAlignment="1">
      <alignment horizontal="center" vertical="center"/>
    </xf>
    <xf numFmtId="176" fontId="0" fillId="11" borderId="24" xfId="0" applyNumberFormat="1" applyFill="1" applyBorder="1" applyAlignment="1">
      <alignment horizontal="center" vertical="center"/>
    </xf>
    <xf numFmtId="173" fontId="0" fillId="11" borderId="241" xfId="0" applyNumberFormat="1" applyFill="1" applyBorder="1" applyAlignment="1">
      <alignment horizontal="center" vertical="center"/>
    </xf>
    <xf numFmtId="176" fontId="0" fillId="15" borderId="104" xfId="0" applyNumberFormat="1" applyFill="1" applyBorder="1" applyAlignment="1">
      <alignment horizontal="center" vertical="center"/>
    </xf>
    <xf numFmtId="164" fontId="0" fillId="15" borderId="236" xfId="0" applyNumberFormat="1" applyFill="1" applyBorder="1" applyAlignment="1">
      <alignment horizontal="center" vertical="center"/>
    </xf>
    <xf numFmtId="176" fontId="0" fillId="11" borderId="104" xfId="0" applyNumberFormat="1" applyFill="1" applyBorder="1" applyAlignment="1">
      <alignment horizontal="center" vertical="center"/>
    </xf>
    <xf numFmtId="164" fontId="0" fillId="11" borderId="35" xfId="0" applyNumberFormat="1" applyFill="1" applyBorder="1" applyAlignment="1">
      <alignment horizontal="center" vertical="center"/>
    </xf>
    <xf numFmtId="176" fontId="0" fillId="15" borderId="238" xfId="0" applyNumberFormat="1" applyFill="1" applyBorder="1" applyAlignment="1">
      <alignment horizontal="center" vertical="center"/>
    </xf>
    <xf numFmtId="164" fontId="0" fillId="15" borderId="35" xfId="0" applyNumberFormat="1" applyFill="1" applyBorder="1" applyAlignment="1">
      <alignment horizontal="center" vertical="center"/>
    </xf>
    <xf numFmtId="176" fontId="0" fillId="11" borderId="41" xfId="0" applyNumberFormat="1" applyFill="1" applyBorder="1" applyAlignment="1">
      <alignment horizontal="center" vertical="center"/>
    </xf>
    <xf numFmtId="164" fontId="0" fillId="11" borderId="58" xfId="0" applyNumberFormat="1" applyFill="1" applyBorder="1" applyAlignment="1">
      <alignment horizontal="center" vertical="center"/>
    </xf>
    <xf numFmtId="176" fontId="0" fillId="15" borderId="57" xfId="0" applyNumberFormat="1" applyFill="1" applyBorder="1" applyAlignment="1">
      <alignment horizontal="center" vertical="center"/>
    </xf>
    <xf numFmtId="164" fontId="0" fillId="15" borderId="58" xfId="0" applyNumberFormat="1" applyFill="1" applyBorder="1" applyAlignment="1">
      <alignment horizontal="center" vertical="center"/>
    </xf>
    <xf numFmtId="168" fontId="0" fillId="11" borderId="104" xfId="0" applyNumberFormat="1" applyFill="1" applyBorder="1" applyAlignment="1">
      <alignment horizontal="center" vertical="center"/>
    </xf>
    <xf numFmtId="164" fontId="0" fillId="11" borderId="242" xfId="0" applyNumberFormat="1" applyFill="1" applyBorder="1" applyAlignment="1">
      <alignment horizontal="center" vertical="center"/>
    </xf>
    <xf numFmtId="176" fontId="0" fillId="11" borderId="105" xfId="0" applyNumberFormat="1" applyFill="1" applyBorder="1" applyAlignment="1">
      <alignment horizontal="center" vertical="center"/>
    </xf>
    <xf numFmtId="186" fontId="0" fillId="10" borderId="152" xfId="0" applyNumberFormat="1" applyFill="1" applyBorder="1" applyAlignment="1">
      <alignment horizontal="center" vertical="center"/>
    </xf>
    <xf numFmtId="176" fontId="17" fillId="10" borderId="126" xfId="0" applyNumberFormat="1" applyFont="1" applyFill="1" applyBorder="1" applyAlignment="1">
      <alignment horizontal="center" vertical="center"/>
    </xf>
    <xf numFmtId="176" fontId="17" fillId="10" borderId="152" xfId="0" applyNumberFormat="1" applyFont="1" applyFill="1" applyBorder="1" applyAlignment="1">
      <alignment horizontal="center" vertical="center"/>
    </xf>
    <xf numFmtId="176" fontId="17" fillId="0" borderId="0" xfId="0" applyNumberFormat="1" applyFont="1"/>
    <xf numFmtId="0" fontId="18" fillId="0" borderId="0" xfId="0" applyFont="1" applyAlignment="1">
      <alignment vertical="center"/>
    </xf>
    <xf numFmtId="185" fontId="0" fillId="0" borderId="68" xfId="0" applyNumberFormat="1" applyBorder="1" applyAlignment="1">
      <alignment horizontal="center" vertical="center"/>
    </xf>
    <xf numFmtId="183" fontId="0" fillId="0" borderId="190" xfId="0" applyNumberFormat="1" applyBorder="1" applyAlignment="1">
      <alignment horizontal="center" vertical="center"/>
    </xf>
    <xf numFmtId="176" fontId="0" fillId="0" borderId="0" xfId="0" applyNumberFormat="1"/>
    <xf numFmtId="188" fontId="0" fillId="0" borderId="68" xfId="0" applyNumberFormat="1" applyBorder="1" applyAlignment="1">
      <alignment horizontal="center" vertical="center"/>
    </xf>
    <xf numFmtId="176" fontId="0" fillId="18" borderId="90" xfId="0" applyNumberFormat="1" applyFill="1" applyBorder="1" applyAlignment="1">
      <alignment horizontal="center" vertical="center"/>
    </xf>
    <xf numFmtId="183" fontId="0" fillId="10" borderId="148" xfId="0" applyNumberFormat="1" applyFill="1" applyBorder="1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19" fillId="19" borderId="249" xfId="0" applyFont="1" applyFill="1" applyBorder="1" applyAlignment="1">
      <alignment horizontal="center" vertical="center"/>
    </xf>
    <xf numFmtId="0" fontId="20" fillId="4" borderId="1" xfId="0" applyFont="1" applyFill="1" applyBorder="1" applyAlignment="1">
      <alignment horizontal="center" vertical="center"/>
    </xf>
    <xf numFmtId="0" fontId="20" fillId="4" borderId="248" xfId="0" applyFont="1" applyFill="1" applyBorder="1" applyAlignment="1">
      <alignment horizontal="center" vertical="center"/>
    </xf>
    <xf numFmtId="0" fontId="20" fillId="4" borderId="5" xfId="0" applyFont="1" applyFill="1" applyBorder="1" applyAlignment="1">
      <alignment horizontal="center" vertical="center"/>
    </xf>
    <xf numFmtId="0" fontId="0" fillId="4" borderId="249" xfId="0" applyFill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1" fontId="0" fillId="5" borderId="1" xfId="0" applyNumberFormat="1" applyFill="1" applyBorder="1" applyAlignment="1">
      <alignment horizontal="center" vertical="center"/>
    </xf>
    <xf numFmtId="187" fontId="0" fillId="5" borderId="1" xfId="0" applyNumberFormat="1" applyFill="1" applyBorder="1" applyAlignment="1">
      <alignment horizontal="center" vertical="center"/>
    </xf>
    <xf numFmtId="187" fontId="0" fillId="5" borderId="248" xfId="0" applyNumberFormat="1" applyFill="1" applyBorder="1" applyAlignment="1">
      <alignment horizontal="center" vertical="center"/>
    </xf>
    <xf numFmtId="190" fontId="0" fillId="5" borderId="1" xfId="0" applyNumberFormat="1" applyFill="1" applyBorder="1" applyAlignment="1">
      <alignment horizontal="center" vertical="center"/>
    </xf>
    <xf numFmtId="190" fontId="0" fillId="5" borderId="248" xfId="0" applyNumberForma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48" xfId="0" applyFill="1" applyBorder="1" applyAlignment="1">
      <alignment horizontal="center" vertical="center"/>
    </xf>
    <xf numFmtId="191" fontId="0" fillId="5" borderId="1" xfId="0" applyNumberFormat="1" applyFill="1" applyBorder="1" applyAlignment="1">
      <alignment horizontal="center" vertical="center"/>
    </xf>
    <xf numFmtId="189" fontId="0" fillId="5" borderId="248" xfId="0" applyNumberFormat="1" applyFill="1" applyBorder="1" applyAlignment="1">
      <alignment horizontal="center" vertical="center"/>
    </xf>
    <xf numFmtId="189" fontId="0" fillId="5" borderId="248" xfId="0" applyNumberFormat="1" applyFill="1" applyBorder="1" applyAlignment="1">
      <alignment horizontal="center" vertical="center" wrapText="1"/>
    </xf>
    <xf numFmtId="189" fontId="0" fillId="5" borderId="250" xfId="0" applyNumberFormat="1" applyFill="1" applyBorder="1" applyAlignment="1">
      <alignment horizontal="center" vertical="center"/>
    </xf>
    <xf numFmtId="0" fontId="0" fillId="5" borderId="257" xfId="0" applyFill="1" applyBorder="1" applyAlignment="1">
      <alignment horizontal="center" vertical="center"/>
    </xf>
    <xf numFmtId="1" fontId="0" fillId="6" borderId="258" xfId="0" applyNumberFormat="1" applyFill="1" applyBorder="1" applyAlignment="1">
      <alignment horizontal="center" vertical="center"/>
    </xf>
    <xf numFmtId="187" fontId="0" fillId="6" borderId="258" xfId="0" applyNumberFormat="1" applyFill="1" applyBorder="1" applyAlignment="1">
      <alignment horizontal="center" vertical="center"/>
    </xf>
    <xf numFmtId="187" fontId="0" fillId="6" borderId="247" xfId="0" applyNumberFormat="1" applyFill="1" applyBorder="1" applyAlignment="1">
      <alignment horizontal="center" vertical="center"/>
    </xf>
    <xf numFmtId="190" fontId="0" fillId="6" borderId="258" xfId="0" applyNumberFormat="1" applyFill="1" applyBorder="1" applyAlignment="1">
      <alignment horizontal="center" vertical="center"/>
    </xf>
    <xf numFmtId="190" fontId="0" fillId="6" borderId="247" xfId="0" applyNumberFormat="1" applyFill="1" applyBorder="1" applyAlignment="1">
      <alignment horizontal="center" vertical="center"/>
    </xf>
    <xf numFmtId="0" fontId="0" fillId="6" borderId="258" xfId="0" applyFill="1" applyBorder="1" applyAlignment="1">
      <alignment horizontal="center" vertical="center"/>
    </xf>
    <xf numFmtId="0" fontId="0" fillId="6" borderId="247" xfId="0" applyFill="1" applyBorder="1" applyAlignment="1">
      <alignment horizontal="center" vertical="center"/>
    </xf>
    <xf numFmtId="191" fontId="0" fillId="6" borderId="258" xfId="0" applyNumberFormat="1" applyFill="1" applyBorder="1" applyAlignment="1">
      <alignment horizontal="center" vertical="center"/>
    </xf>
    <xf numFmtId="189" fontId="0" fillId="6" borderId="247" xfId="0" applyNumberFormat="1" applyFill="1" applyBorder="1" applyAlignment="1">
      <alignment horizontal="center" vertical="center"/>
    </xf>
    <xf numFmtId="189" fontId="0" fillId="6" borderId="252" xfId="0" applyNumberFormat="1" applyFill="1" applyBorder="1" applyAlignment="1">
      <alignment horizontal="center" vertical="center"/>
    </xf>
    <xf numFmtId="0" fontId="0" fillId="6" borderId="54" xfId="0" applyFill="1" applyBorder="1" applyAlignment="1">
      <alignment horizontal="center" vertical="center"/>
    </xf>
    <xf numFmtId="1" fontId="0" fillId="5" borderId="258" xfId="0" applyNumberFormat="1" applyFill="1" applyBorder="1" applyAlignment="1">
      <alignment horizontal="center" vertical="center"/>
    </xf>
    <xf numFmtId="187" fontId="0" fillId="5" borderId="258" xfId="0" applyNumberFormat="1" applyFill="1" applyBorder="1" applyAlignment="1">
      <alignment horizontal="center" vertical="center"/>
    </xf>
    <xf numFmtId="187" fontId="0" fillId="5" borderId="247" xfId="0" applyNumberFormat="1" applyFill="1" applyBorder="1" applyAlignment="1">
      <alignment horizontal="center" vertical="center"/>
    </xf>
    <xf numFmtId="190" fontId="0" fillId="5" borderId="258" xfId="0" applyNumberFormat="1" applyFill="1" applyBorder="1" applyAlignment="1">
      <alignment horizontal="center" vertical="center"/>
    </xf>
    <xf numFmtId="190" fontId="0" fillId="5" borderId="247" xfId="0" applyNumberFormat="1" applyFill="1" applyBorder="1" applyAlignment="1">
      <alignment horizontal="center" vertical="center"/>
    </xf>
    <xf numFmtId="0" fontId="0" fillId="5" borderId="258" xfId="0" applyFill="1" applyBorder="1" applyAlignment="1">
      <alignment horizontal="center" vertical="center"/>
    </xf>
    <xf numFmtId="0" fontId="0" fillId="5" borderId="247" xfId="0" applyFill="1" applyBorder="1" applyAlignment="1">
      <alignment horizontal="center" vertical="center"/>
    </xf>
    <xf numFmtId="191" fontId="0" fillId="5" borderId="258" xfId="0" applyNumberFormat="1" applyFill="1" applyBorder="1" applyAlignment="1">
      <alignment horizontal="center" vertical="center"/>
    </xf>
    <xf numFmtId="189" fontId="0" fillId="5" borderId="247" xfId="0" applyNumberFormat="1" applyFill="1" applyBorder="1" applyAlignment="1">
      <alignment horizontal="center" vertical="center"/>
    </xf>
    <xf numFmtId="189" fontId="0" fillId="5" borderId="252" xfId="0" applyNumberFormat="1" applyFill="1" applyBorder="1" applyAlignment="1">
      <alignment horizontal="center" vertical="center"/>
    </xf>
    <xf numFmtId="0" fontId="0" fillId="5" borderId="259" xfId="0" applyFill="1" applyBorder="1" applyAlignment="1">
      <alignment horizontal="center" vertical="center"/>
    </xf>
    <xf numFmtId="0" fontId="0" fillId="6" borderId="259" xfId="0" applyFill="1" applyBorder="1" applyAlignment="1">
      <alignment horizontal="center" vertical="center"/>
    </xf>
    <xf numFmtId="0" fontId="0" fillId="6" borderId="58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187" fontId="0" fillId="8" borderId="5" xfId="0" applyNumberFormat="1" applyFill="1" applyBorder="1" applyAlignment="1">
      <alignment horizontal="center" vertical="center"/>
    </xf>
    <xf numFmtId="0" fontId="20" fillId="5" borderId="248" xfId="0" applyFont="1" applyFill="1" applyBorder="1" applyAlignment="1">
      <alignment horizontal="center" vertical="center"/>
    </xf>
    <xf numFmtId="192" fontId="0" fillId="8" borderId="263" xfId="0" applyNumberFormat="1" applyFill="1" applyBorder="1" applyAlignment="1">
      <alignment horizontal="center" vertical="center"/>
    </xf>
    <xf numFmtId="192" fontId="0" fillId="8" borderId="35" xfId="0" applyNumberFormat="1" applyFill="1" applyBorder="1" applyAlignment="1">
      <alignment horizontal="center" vertical="center"/>
    </xf>
    <xf numFmtId="3" fontId="0" fillId="6" borderId="177" xfId="0" applyNumberFormat="1" applyFill="1" applyBorder="1" applyAlignment="1">
      <alignment horizontal="center" vertical="center"/>
    </xf>
    <xf numFmtId="3" fontId="0" fillId="6" borderId="264" xfId="0" applyNumberFormat="1" applyFill="1" applyBorder="1" applyAlignment="1">
      <alignment horizontal="center" vertical="center"/>
    </xf>
    <xf numFmtId="3" fontId="0" fillId="6" borderId="265" xfId="0" applyNumberFormat="1" applyFill="1" applyBorder="1" applyAlignment="1">
      <alignment horizontal="center" vertical="center"/>
    </xf>
    <xf numFmtId="3" fontId="0" fillId="6" borderId="111" xfId="0" applyNumberFormat="1" applyFill="1" applyBorder="1" applyAlignment="1">
      <alignment horizontal="center" vertical="center"/>
    </xf>
    <xf numFmtId="3" fontId="0" fillId="6" borderId="110" xfId="0" applyNumberFormat="1" applyFill="1" applyBorder="1" applyAlignment="1">
      <alignment horizontal="center" vertical="center"/>
    </xf>
    <xf numFmtId="191" fontId="0" fillId="6" borderId="177" xfId="0" applyNumberFormat="1" applyFill="1" applyBorder="1" applyAlignment="1">
      <alignment horizontal="center" vertical="center"/>
    </xf>
    <xf numFmtId="189" fontId="0" fillId="6" borderId="264" xfId="0" applyNumberFormat="1" applyFill="1" applyBorder="1" applyAlignment="1">
      <alignment horizontal="center" vertical="center"/>
    </xf>
    <xf numFmtId="189" fontId="0" fillId="6" borderId="225" xfId="0" applyNumberFormat="1" applyFill="1" applyBorder="1" applyAlignment="1">
      <alignment horizontal="center" vertical="center"/>
    </xf>
    <xf numFmtId="0" fontId="0" fillId="6" borderId="148" xfId="0" applyFill="1" applyBorder="1" applyAlignment="1">
      <alignment horizontal="center" vertical="center"/>
    </xf>
    <xf numFmtId="190" fontId="0" fillId="0" borderId="0" xfId="0" applyNumberFormat="1" applyAlignment="1">
      <alignment horizontal="center" vertical="center"/>
    </xf>
    <xf numFmtId="190" fontId="21" fillId="0" borderId="0" xfId="0" applyNumberFormat="1" applyFont="1" applyAlignment="1">
      <alignment horizontal="center" vertical="center"/>
    </xf>
    <xf numFmtId="0" fontId="0" fillId="0" borderId="246" xfId="0" applyBorder="1"/>
    <xf numFmtId="0" fontId="0" fillId="0" borderId="266" xfId="0" applyBorder="1" applyAlignment="1">
      <alignment horizontal="center" vertical="center"/>
    </xf>
    <xf numFmtId="168" fontId="0" fillId="9" borderId="123" xfId="0" applyNumberFormat="1" applyFill="1" applyBorder="1" applyAlignment="1">
      <alignment horizontal="center" vertical="center"/>
    </xf>
    <xf numFmtId="0" fontId="1" fillId="2" borderId="256" xfId="0" quotePrefix="1" applyFont="1" applyFill="1" applyBorder="1" applyAlignment="1">
      <alignment horizontal="center" vertical="center"/>
    </xf>
    <xf numFmtId="0" fontId="0" fillId="0" borderId="246" xfId="0" applyBorder="1" applyAlignment="1">
      <alignment horizontal="center" vertical="center"/>
    </xf>
    <xf numFmtId="194" fontId="0" fillId="0" borderId="270" xfId="0" applyNumberFormat="1" applyBorder="1" applyAlignment="1">
      <alignment horizontal="center" vertical="center"/>
    </xf>
    <xf numFmtId="194" fontId="0" fillId="0" borderId="271" xfId="0" applyNumberFormat="1" applyBorder="1" applyAlignment="1">
      <alignment horizontal="center" vertical="center"/>
    </xf>
    <xf numFmtId="195" fontId="0" fillId="0" borderId="270" xfId="0" applyNumberFormat="1" applyBorder="1" applyAlignment="1">
      <alignment horizontal="center" vertical="center"/>
    </xf>
    <xf numFmtId="196" fontId="0" fillId="0" borderId="270" xfId="0" applyNumberFormat="1" applyBorder="1" applyAlignment="1">
      <alignment horizontal="center" vertical="center"/>
    </xf>
    <xf numFmtId="196" fontId="0" fillId="0" borderId="272" xfId="0" applyNumberFormat="1" applyBorder="1" applyAlignment="1">
      <alignment horizontal="center" vertical="center"/>
    </xf>
    <xf numFmtId="195" fontId="0" fillId="0" borderId="272" xfId="0" applyNumberFormat="1" applyBorder="1" applyAlignment="1">
      <alignment horizontal="center" vertical="center"/>
    </xf>
    <xf numFmtId="194" fontId="0" fillId="0" borderId="272" xfId="0" applyNumberFormat="1" applyBorder="1" applyAlignment="1">
      <alignment horizontal="center" vertical="center"/>
    </xf>
    <xf numFmtId="0" fontId="8" fillId="7" borderId="126" xfId="0" applyFont="1" applyFill="1" applyBorder="1" applyAlignment="1">
      <alignment horizontal="center" vertical="center"/>
    </xf>
    <xf numFmtId="195" fontId="0" fillId="0" borderId="273" xfId="0" applyNumberFormat="1" applyBorder="1" applyAlignment="1">
      <alignment horizontal="center" vertical="center"/>
    </xf>
    <xf numFmtId="196" fontId="0" fillId="0" borderId="273" xfId="0" applyNumberFormat="1" applyBorder="1" applyAlignment="1">
      <alignment horizontal="center" vertical="center"/>
    </xf>
    <xf numFmtId="168" fontId="0" fillId="21" borderId="280" xfId="0" applyNumberFormat="1" applyFill="1" applyBorder="1" applyAlignment="1">
      <alignment horizontal="center" vertical="center"/>
    </xf>
    <xf numFmtId="185" fontId="0" fillId="21" borderId="281" xfId="0" applyNumberFormat="1" applyFill="1" applyBorder="1" applyAlignment="1">
      <alignment horizontal="center" vertical="center"/>
    </xf>
    <xf numFmtId="168" fontId="0" fillId="21" borderId="282" xfId="0" applyNumberFormat="1" applyFill="1" applyBorder="1" applyAlignment="1">
      <alignment horizontal="center" vertical="center"/>
    </xf>
    <xf numFmtId="197" fontId="0" fillId="21" borderId="280" xfId="0" applyNumberFormat="1" applyFill="1" applyBorder="1" applyAlignment="1">
      <alignment horizontal="center" vertical="center"/>
    </xf>
    <xf numFmtId="197" fontId="0" fillId="21" borderId="281" xfId="0" applyNumberFormat="1" applyFill="1" applyBorder="1" applyAlignment="1">
      <alignment horizontal="center" vertical="center"/>
    </xf>
    <xf numFmtId="197" fontId="0" fillId="21" borderId="282" xfId="0" applyNumberFormat="1" applyFill="1" applyBorder="1" applyAlignment="1">
      <alignment horizontal="center" vertical="center"/>
    </xf>
    <xf numFmtId="189" fontId="0" fillId="21" borderId="280" xfId="0" applyNumberFormat="1" applyFill="1" applyBorder="1" applyAlignment="1">
      <alignment horizontal="center" vertical="center"/>
    </xf>
    <xf numFmtId="189" fontId="0" fillId="21" borderId="282" xfId="0" applyNumberFormat="1" applyFill="1" applyBorder="1" applyAlignment="1">
      <alignment horizontal="center" vertical="center"/>
    </xf>
    <xf numFmtId="197" fontId="0" fillId="21" borderId="283" xfId="0" applyNumberFormat="1" applyFill="1" applyBorder="1" applyAlignment="1">
      <alignment horizontal="center" vertical="center"/>
    </xf>
    <xf numFmtId="0" fontId="0" fillId="22" borderId="284" xfId="0" applyFill="1" applyBorder="1" applyAlignment="1">
      <alignment horizontal="center" vertical="center"/>
    </xf>
    <xf numFmtId="0" fontId="0" fillId="22" borderId="285" xfId="0" applyFill="1" applyBorder="1" applyAlignment="1">
      <alignment horizontal="center" vertical="center"/>
    </xf>
    <xf numFmtId="0" fontId="0" fillId="22" borderId="286" xfId="0" applyFill="1" applyBorder="1" applyAlignment="1">
      <alignment horizontal="center" vertical="center"/>
    </xf>
    <xf numFmtId="0" fontId="0" fillId="22" borderId="287" xfId="0" applyFill="1" applyBorder="1" applyAlignment="1">
      <alignment horizontal="center" vertical="center"/>
    </xf>
    <xf numFmtId="0" fontId="0" fillId="21" borderId="288" xfId="0" applyFill="1" applyBorder="1" applyAlignment="1">
      <alignment horizontal="center" vertical="center"/>
    </xf>
    <xf numFmtId="0" fontId="0" fillId="21" borderId="289" xfId="0" applyFill="1" applyBorder="1" applyAlignment="1">
      <alignment horizontal="center" vertical="center"/>
    </xf>
    <xf numFmtId="0" fontId="0" fillId="21" borderId="290" xfId="0" applyFill="1" applyBorder="1" applyAlignment="1">
      <alignment horizontal="center" vertical="center"/>
    </xf>
    <xf numFmtId="0" fontId="0" fillId="21" borderId="291" xfId="0" applyFill="1" applyBorder="1" applyAlignment="1">
      <alignment horizontal="center" vertical="center"/>
    </xf>
    <xf numFmtId="0" fontId="23" fillId="0" borderId="246" xfId="0" applyFont="1" applyBorder="1"/>
    <xf numFmtId="0" fontId="23" fillId="0" borderId="0" xfId="0" applyFont="1"/>
    <xf numFmtId="0" fontId="0" fillId="0" borderId="293" xfId="0" applyBorder="1" applyAlignment="1">
      <alignment horizontal="center" vertical="center"/>
    </xf>
    <xf numFmtId="0" fontId="0" fillId="0" borderId="294" xfId="0" applyBorder="1" applyAlignment="1">
      <alignment horizontal="center" vertical="center"/>
    </xf>
    <xf numFmtId="0" fontId="0" fillId="0" borderId="296" xfId="0" applyBorder="1" applyAlignment="1">
      <alignment horizontal="center" vertical="center"/>
    </xf>
    <xf numFmtId="0" fontId="0" fillId="0" borderId="298" xfId="0" applyBorder="1" applyAlignment="1">
      <alignment horizontal="center" vertical="center"/>
    </xf>
    <xf numFmtId="0" fontId="0" fillId="0" borderId="299" xfId="0" applyBorder="1" applyAlignment="1">
      <alignment horizontal="center" vertical="center"/>
    </xf>
    <xf numFmtId="0" fontId="0" fillId="0" borderId="300" xfId="0" applyBorder="1" applyAlignment="1">
      <alignment horizontal="center" vertical="center"/>
    </xf>
    <xf numFmtId="0" fontId="0" fillId="0" borderId="252" xfId="0" applyBorder="1" applyAlignment="1">
      <alignment horizontal="center" vertical="center"/>
    </xf>
    <xf numFmtId="193" fontId="0" fillId="0" borderId="301" xfId="0" applyNumberFormat="1" applyBorder="1" applyAlignment="1">
      <alignment horizontal="center" vertical="center"/>
    </xf>
    <xf numFmtId="0" fontId="0" fillId="0" borderId="304" xfId="0" applyBorder="1" applyAlignment="1">
      <alignment horizontal="center" vertical="center"/>
    </xf>
    <xf numFmtId="0" fontId="0" fillId="0" borderId="301" xfId="0" applyBorder="1" applyAlignment="1">
      <alignment horizontal="center" vertical="center"/>
    </xf>
    <xf numFmtId="0" fontId="0" fillId="0" borderId="302" xfId="0" applyBorder="1" applyAlignment="1">
      <alignment horizontal="center" vertical="center"/>
    </xf>
    <xf numFmtId="0" fontId="0" fillId="0" borderId="303" xfId="0" applyBorder="1" applyAlignment="1">
      <alignment horizontal="center" vertical="center"/>
    </xf>
    <xf numFmtId="0" fontId="0" fillId="0" borderId="305" xfId="0" applyBorder="1" applyAlignment="1">
      <alignment horizontal="center" vertical="center"/>
    </xf>
    <xf numFmtId="0" fontId="0" fillId="0" borderId="306" xfId="0" applyBorder="1" applyAlignment="1">
      <alignment horizontal="center" vertical="center"/>
    </xf>
    <xf numFmtId="0" fontId="0" fillId="0" borderId="307" xfId="0" applyBorder="1" applyAlignment="1">
      <alignment horizontal="center" vertical="center"/>
    </xf>
    <xf numFmtId="195" fontId="0" fillId="0" borderId="315" xfId="0" applyNumberFormat="1" applyBorder="1" applyAlignment="1">
      <alignment horizontal="center" vertical="center"/>
    </xf>
    <xf numFmtId="195" fontId="0" fillId="0" borderId="316" xfId="0" applyNumberFormat="1" applyBorder="1" applyAlignment="1">
      <alignment horizontal="center" vertical="center"/>
    </xf>
    <xf numFmtId="194" fontId="0" fillId="0" borderId="317" xfId="0" applyNumberFormat="1" applyBorder="1" applyAlignment="1">
      <alignment horizontal="center" vertical="center"/>
    </xf>
    <xf numFmtId="194" fontId="0" fillId="0" borderId="318" xfId="0" applyNumberFormat="1" applyBorder="1" applyAlignment="1">
      <alignment horizontal="center" vertical="center"/>
    </xf>
    <xf numFmtId="196" fontId="0" fillId="0" borderId="311" xfId="0" applyNumberFormat="1" applyBorder="1" applyAlignment="1">
      <alignment horizontal="center" vertical="center"/>
    </xf>
    <xf numFmtId="196" fontId="0" fillId="0" borderId="312" xfId="0" applyNumberFormat="1" applyBorder="1" applyAlignment="1">
      <alignment horizontal="center" vertical="center"/>
    </xf>
    <xf numFmtId="196" fontId="0" fillId="0" borderId="313" xfId="0" applyNumberFormat="1" applyBorder="1" applyAlignment="1">
      <alignment horizontal="center" vertical="center"/>
    </xf>
    <xf numFmtId="196" fontId="0" fillId="0" borderId="314" xfId="0" applyNumberFormat="1" applyBorder="1" applyAlignment="1">
      <alignment horizontal="center" vertical="center"/>
    </xf>
    <xf numFmtId="195" fontId="0" fillId="0" borderId="319" xfId="0" applyNumberFormat="1" applyBorder="1" applyAlignment="1">
      <alignment horizontal="center" vertical="center"/>
    </xf>
    <xf numFmtId="0" fontId="12" fillId="7" borderId="320" xfId="0" applyFont="1" applyFill="1" applyBorder="1" applyAlignment="1">
      <alignment horizontal="center" vertical="center"/>
    </xf>
    <xf numFmtId="0" fontId="12" fillId="7" borderId="120" xfId="0" applyFont="1" applyFill="1" applyBorder="1" applyAlignment="1">
      <alignment horizontal="center" vertical="center"/>
    </xf>
    <xf numFmtId="0" fontId="12" fillId="7" borderId="246" xfId="0" applyFont="1" applyFill="1" applyBorder="1" applyAlignment="1">
      <alignment horizontal="center" vertical="center"/>
    </xf>
    <xf numFmtId="194" fontId="0" fillId="0" borderId="321" xfId="0" applyNumberFormat="1" applyBorder="1" applyAlignment="1">
      <alignment horizontal="center" vertical="center"/>
    </xf>
    <xf numFmtId="194" fontId="0" fillId="0" borderId="322" xfId="0" applyNumberFormat="1" applyBorder="1" applyAlignment="1">
      <alignment horizontal="center" vertical="center"/>
    </xf>
    <xf numFmtId="196" fontId="0" fillId="0" borderId="323" xfId="0" applyNumberFormat="1" applyBorder="1" applyAlignment="1">
      <alignment horizontal="center" vertical="center"/>
    </xf>
    <xf numFmtId="196" fontId="0" fillId="0" borderId="324" xfId="0" applyNumberFormat="1" applyBorder="1" applyAlignment="1">
      <alignment horizontal="center" vertical="center"/>
    </xf>
    <xf numFmtId="196" fontId="0" fillId="0" borderId="319" xfId="0" applyNumberFormat="1" applyBorder="1" applyAlignment="1">
      <alignment horizontal="center" vertical="center"/>
    </xf>
    <xf numFmtId="196" fontId="0" fillId="0" borderId="325" xfId="0" applyNumberFormat="1" applyBorder="1" applyAlignment="1">
      <alignment horizontal="center" vertical="center"/>
    </xf>
    <xf numFmtId="196" fontId="0" fillId="0" borderId="326" xfId="0" applyNumberFormat="1" applyBorder="1" applyAlignment="1">
      <alignment horizontal="center" vertical="center"/>
    </xf>
    <xf numFmtId="194" fontId="0" fillId="0" borderId="312" xfId="0" applyNumberFormat="1" applyBorder="1" applyAlignment="1">
      <alignment horizontal="center" vertical="center"/>
    </xf>
    <xf numFmtId="194" fontId="0" fillId="0" borderId="314" xfId="0" applyNumberFormat="1" applyBorder="1" applyAlignment="1">
      <alignment horizontal="center" vertical="center"/>
    </xf>
    <xf numFmtId="194" fontId="0" fillId="0" borderId="319" xfId="0" applyNumberFormat="1" applyBorder="1" applyAlignment="1">
      <alignment horizontal="center" vertical="center"/>
    </xf>
    <xf numFmtId="195" fontId="0" fillId="0" borderId="323" xfId="0" applyNumberFormat="1" applyBorder="1" applyAlignment="1">
      <alignment horizontal="center" vertical="center"/>
    </xf>
    <xf numFmtId="195" fontId="0" fillId="0" borderId="324" xfId="0" applyNumberFormat="1" applyBorder="1" applyAlignment="1">
      <alignment horizontal="center" vertical="center"/>
    </xf>
    <xf numFmtId="194" fontId="0" fillId="0" borderId="327" xfId="0" applyNumberFormat="1" applyBorder="1" applyAlignment="1">
      <alignment horizontal="center" vertical="center"/>
    </xf>
    <xf numFmtId="196" fontId="0" fillId="0" borderId="317" xfId="0" applyNumberFormat="1" applyBorder="1" applyAlignment="1">
      <alignment horizontal="center" vertical="center"/>
    </xf>
    <xf numFmtId="196" fontId="0" fillId="0" borderId="329" xfId="0" applyNumberFormat="1" applyBorder="1" applyAlignment="1">
      <alignment horizontal="center" vertical="center"/>
    </xf>
    <xf numFmtId="196" fontId="0" fillId="0" borderId="330" xfId="0" applyNumberFormat="1" applyBorder="1" applyAlignment="1">
      <alignment horizontal="center" vertical="center"/>
    </xf>
    <xf numFmtId="0" fontId="0" fillId="0" borderId="321" xfId="0" applyBorder="1" applyAlignment="1">
      <alignment horizontal="center" vertical="center"/>
    </xf>
    <xf numFmtId="0" fontId="0" fillId="0" borderId="327" xfId="0" applyBorder="1" applyAlignment="1">
      <alignment horizontal="center" vertical="center"/>
    </xf>
    <xf numFmtId="194" fontId="0" fillId="0" borderId="329" xfId="0" applyNumberFormat="1" applyBorder="1" applyAlignment="1">
      <alignment horizontal="center" vertical="center"/>
    </xf>
    <xf numFmtId="194" fontId="0" fillId="0" borderId="331" xfId="0" applyNumberFormat="1" applyBorder="1" applyAlignment="1">
      <alignment horizontal="center" vertical="center"/>
    </xf>
    <xf numFmtId="194" fontId="0" fillId="0" borderId="332" xfId="0" applyNumberFormat="1" applyBorder="1" applyAlignment="1">
      <alignment horizontal="center" vertical="center"/>
    </xf>
    <xf numFmtId="195" fontId="0" fillId="0" borderId="333" xfId="0" applyNumberFormat="1" applyBorder="1" applyAlignment="1">
      <alignment horizontal="center" vertical="center"/>
    </xf>
    <xf numFmtId="196" fontId="0" fillId="0" borderId="334" xfId="0" applyNumberFormat="1" applyBorder="1" applyAlignment="1">
      <alignment horizontal="center" vertical="center"/>
    </xf>
    <xf numFmtId="196" fontId="0" fillId="0" borderId="335" xfId="0" applyNumberFormat="1" applyBorder="1" applyAlignment="1">
      <alignment horizontal="center" vertical="center"/>
    </xf>
    <xf numFmtId="195" fontId="0" fillId="0" borderId="334" xfId="0" applyNumberFormat="1" applyBorder="1" applyAlignment="1">
      <alignment horizontal="center" vertical="center"/>
    </xf>
    <xf numFmtId="0" fontId="0" fillId="0" borderId="331" xfId="0" applyBorder="1" applyAlignment="1">
      <alignment horizontal="center" vertical="center"/>
    </xf>
    <xf numFmtId="196" fontId="0" fillId="0" borderId="336" xfId="0" applyNumberFormat="1" applyBorder="1" applyAlignment="1">
      <alignment horizontal="center" vertical="center"/>
    </xf>
    <xf numFmtId="194" fontId="0" fillId="0" borderId="336" xfId="0" applyNumberFormat="1" applyBorder="1" applyAlignment="1">
      <alignment horizontal="center" vertical="center"/>
    </xf>
    <xf numFmtId="0" fontId="24" fillId="0" borderId="338" xfId="0" applyFont="1" applyBorder="1" applyAlignment="1">
      <alignment horizontal="center" vertical="center"/>
    </xf>
    <xf numFmtId="0" fontId="24" fillId="0" borderId="339" xfId="0" applyFont="1" applyBorder="1" applyAlignment="1">
      <alignment horizontal="center" vertical="center"/>
    </xf>
    <xf numFmtId="0" fontId="24" fillId="0" borderId="340" xfId="0" applyFont="1" applyBorder="1" applyAlignment="1">
      <alignment horizontal="center" vertical="center"/>
    </xf>
    <xf numFmtId="0" fontId="24" fillId="0" borderId="341" xfId="0" applyFont="1" applyBorder="1" applyAlignment="1">
      <alignment horizontal="center" vertical="center"/>
    </xf>
    <xf numFmtId="0" fontId="24" fillId="0" borderId="342" xfId="0" applyFont="1" applyBorder="1" applyAlignment="1">
      <alignment horizontal="center" vertical="center"/>
    </xf>
    <xf numFmtId="0" fontId="24" fillId="0" borderId="343" xfId="0" applyFont="1" applyBorder="1" applyAlignment="1">
      <alignment horizontal="center" vertical="center"/>
    </xf>
    <xf numFmtId="0" fontId="24" fillId="0" borderId="344" xfId="0" applyFont="1" applyBorder="1" applyAlignment="1">
      <alignment horizontal="center" vertical="center"/>
    </xf>
    <xf numFmtId="196" fontId="24" fillId="0" borderId="339" xfId="0" applyNumberFormat="1" applyFont="1" applyBorder="1" applyAlignment="1">
      <alignment horizontal="center" vertical="center"/>
    </xf>
    <xf numFmtId="0" fontId="24" fillId="0" borderId="345" xfId="0" applyFont="1" applyBorder="1" applyAlignment="1">
      <alignment horizontal="center" vertical="center"/>
    </xf>
    <xf numFmtId="1" fontId="0" fillId="0" borderId="302" xfId="0" applyNumberFormat="1" applyBorder="1" applyAlignment="1">
      <alignment horizontal="center" vertical="center"/>
    </xf>
    <xf numFmtId="1" fontId="0" fillId="0" borderId="303" xfId="0" applyNumberFormat="1" applyBorder="1" applyAlignment="1">
      <alignment horizontal="center" vertical="center"/>
    </xf>
    <xf numFmtId="0" fontId="0" fillId="0" borderId="292" xfId="0" applyBorder="1" applyAlignment="1">
      <alignment horizontal="center" vertical="center"/>
    </xf>
    <xf numFmtId="0" fontId="0" fillId="0" borderId="295" xfId="0" applyBorder="1" applyAlignment="1">
      <alignment horizontal="center" vertical="center"/>
    </xf>
    <xf numFmtId="0" fontId="0" fillId="0" borderId="297" xfId="0" applyBorder="1" applyAlignment="1">
      <alignment horizontal="center" vertical="center"/>
    </xf>
    <xf numFmtId="1" fontId="0" fillId="0" borderId="308" xfId="0" applyNumberFormat="1" applyBorder="1" applyAlignment="1">
      <alignment horizontal="center" vertical="center"/>
    </xf>
    <xf numFmtId="1" fontId="0" fillId="0" borderId="309" xfId="0" applyNumberForma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346" xfId="0" applyBorder="1" applyAlignment="1">
      <alignment horizontal="center" vertical="center"/>
    </xf>
    <xf numFmtId="0" fontId="0" fillId="0" borderId="347" xfId="0" applyBorder="1" applyAlignment="1">
      <alignment horizontal="center" vertical="center"/>
    </xf>
    <xf numFmtId="0" fontId="0" fillId="20" borderId="246" xfId="0" applyFill="1" applyBorder="1" applyAlignment="1">
      <alignment horizontal="center" vertical="center"/>
    </xf>
    <xf numFmtId="0" fontId="0" fillId="20" borderId="251" xfId="0" applyFill="1" applyBorder="1" applyAlignment="1">
      <alignment horizontal="center" vertical="center"/>
    </xf>
    <xf numFmtId="0" fontId="0" fillId="0" borderId="348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274" xfId="0" applyBorder="1" applyAlignment="1">
      <alignment horizontal="center" vertical="center"/>
    </xf>
    <xf numFmtId="199" fontId="0" fillId="0" borderId="301" xfId="0" applyNumberFormat="1" applyBorder="1" applyAlignment="1">
      <alignment horizontal="center" vertical="center"/>
    </xf>
    <xf numFmtId="199" fontId="0" fillId="0" borderId="302" xfId="0" applyNumberFormat="1" applyBorder="1" applyAlignment="1">
      <alignment horizontal="center" vertical="center"/>
    </xf>
    <xf numFmtId="199" fontId="0" fillId="0" borderId="303" xfId="0" applyNumberFormat="1" applyBorder="1" applyAlignment="1">
      <alignment horizontal="center" vertical="center"/>
    </xf>
    <xf numFmtId="199" fontId="0" fillId="0" borderId="305" xfId="0" applyNumberFormat="1" applyBorder="1" applyAlignment="1">
      <alignment horizontal="center" vertical="center"/>
    </xf>
    <xf numFmtId="199" fontId="0" fillId="0" borderId="306" xfId="0" applyNumberFormat="1" applyBorder="1" applyAlignment="1">
      <alignment horizontal="center" vertical="center"/>
    </xf>
    <xf numFmtId="199" fontId="0" fillId="0" borderId="307" xfId="0" applyNumberFormat="1" applyBorder="1" applyAlignment="1">
      <alignment horizontal="center" vertical="center"/>
    </xf>
    <xf numFmtId="199" fontId="0" fillId="0" borderId="309" xfId="0" applyNumberFormat="1" applyBorder="1" applyAlignment="1">
      <alignment horizontal="center" vertical="center"/>
    </xf>
    <xf numFmtId="199" fontId="0" fillId="0" borderId="310" xfId="0" applyNumberFormat="1" applyBorder="1" applyAlignment="1">
      <alignment horizontal="center" vertical="center"/>
    </xf>
    <xf numFmtId="199" fontId="0" fillId="0" borderId="0" xfId="0" applyNumberFormat="1"/>
    <xf numFmtId="198" fontId="0" fillId="0" borderId="0" xfId="0" applyNumberFormat="1"/>
    <xf numFmtId="200" fontId="0" fillId="0" borderId="0" xfId="0" applyNumberFormat="1"/>
    <xf numFmtId="200" fontId="0" fillId="0" borderId="292" xfId="0" applyNumberFormat="1" applyBorder="1" applyAlignment="1">
      <alignment horizontal="center" vertical="center"/>
    </xf>
    <xf numFmtId="200" fontId="0" fillId="0" borderId="295" xfId="0" applyNumberFormat="1" applyBorder="1" applyAlignment="1">
      <alignment horizontal="center" vertical="center"/>
    </xf>
    <xf numFmtId="2" fontId="0" fillId="0" borderId="0" xfId="0" applyNumberFormat="1"/>
    <xf numFmtId="201" fontId="0" fillId="0" borderId="0" xfId="0" applyNumberFormat="1"/>
    <xf numFmtId="168" fontId="0" fillId="0" borderId="295" xfId="0" applyNumberFormat="1" applyBorder="1" applyAlignment="1">
      <alignment horizontal="center" vertical="center"/>
    </xf>
    <xf numFmtId="188" fontId="0" fillId="0" borderId="295" xfId="0" applyNumberFormat="1" applyBorder="1" applyAlignment="1">
      <alignment horizontal="center" vertical="center"/>
    </xf>
    <xf numFmtId="188" fontId="0" fillId="0" borderId="296" xfId="0" applyNumberFormat="1" applyBorder="1" applyAlignment="1">
      <alignment horizontal="center" vertical="center"/>
    </xf>
    <xf numFmtId="172" fontId="0" fillId="0" borderId="295" xfId="0" applyNumberFormat="1" applyBorder="1" applyAlignment="1">
      <alignment horizontal="center" vertical="center"/>
    </xf>
    <xf numFmtId="172" fontId="0" fillId="0" borderId="296" xfId="0" applyNumberFormat="1" applyBorder="1" applyAlignment="1">
      <alignment horizontal="center" vertical="center"/>
    </xf>
    <xf numFmtId="200" fontId="0" fillId="0" borderId="309" xfId="0" applyNumberFormat="1" applyBorder="1" applyAlignment="1">
      <alignment horizontal="center" vertical="center"/>
    </xf>
    <xf numFmtId="49" fontId="0" fillId="0" borderId="0" xfId="0" applyNumberFormat="1"/>
    <xf numFmtId="200" fontId="0" fillId="0" borderId="308" xfId="0" applyNumberFormat="1" applyBorder="1" applyAlignment="1">
      <alignment horizontal="center" vertical="center"/>
    </xf>
    <xf numFmtId="200" fontId="0" fillId="0" borderId="310" xfId="0" applyNumberFormat="1" applyBorder="1" applyAlignment="1">
      <alignment horizontal="center" vertical="center"/>
    </xf>
    <xf numFmtId="168" fontId="0" fillId="0" borderId="296" xfId="0" applyNumberFormat="1" applyBorder="1" applyAlignment="1">
      <alignment horizontal="center" vertical="center"/>
    </xf>
    <xf numFmtId="199" fontId="0" fillId="0" borderId="308" xfId="0" applyNumberFormat="1" applyBorder="1" applyAlignment="1">
      <alignment horizontal="center" vertical="center"/>
    </xf>
    <xf numFmtId="0" fontId="26" fillId="0" borderId="338" xfId="0" applyFont="1" applyBorder="1" applyAlignment="1">
      <alignment horizontal="center" vertical="center"/>
    </xf>
    <xf numFmtId="0" fontId="26" fillId="0" borderId="339" xfId="0" applyFont="1" applyBorder="1" applyAlignment="1">
      <alignment horizontal="center" vertical="center"/>
    </xf>
    <xf numFmtId="0" fontId="26" fillId="0" borderId="340" xfId="0" applyFont="1" applyBorder="1" applyAlignment="1">
      <alignment horizontal="center" vertical="center"/>
    </xf>
    <xf numFmtId="0" fontId="26" fillId="0" borderId="341" xfId="0" applyFont="1" applyBorder="1" applyAlignment="1">
      <alignment horizontal="center" vertical="center"/>
    </xf>
    <xf numFmtId="0" fontId="26" fillId="0" borderId="342" xfId="0" applyFont="1" applyBorder="1" applyAlignment="1">
      <alignment horizontal="center" vertical="center"/>
    </xf>
    <xf numFmtId="0" fontId="26" fillId="0" borderId="343" xfId="0" applyFont="1" applyBorder="1" applyAlignment="1">
      <alignment horizontal="center" vertical="center"/>
    </xf>
    <xf numFmtId="0" fontId="26" fillId="0" borderId="344" xfId="0" applyFont="1" applyBorder="1" applyAlignment="1">
      <alignment horizontal="center" vertical="center"/>
    </xf>
    <xf numFmtId="196" fontId="26" fillId="0" borderId="339" xfId="0" applyNumberFormat="1" applyFont="1" applyBorder="1" applyAlignment="1">
      <alignment horizontal="center" vertical="center"/>
    </xf>
    <xf numFmtId="0" fontId="26" fillId="0" borderId="345" xfId="0" applyFont="1" applyBorder="1" applyAlignment="1">
      <alignment horizontal="center" vertical="center"/>
    </xf>
    <xf numFmtId="194" fontId="27" fillId="0" borderId="329" xfId="0" applyNumberFormat="1" applyFont="1" applyBorder="1" applyAlignment="1">
      <alignment horizontal="center" vertical="center"/>
    </xf>
    <xf numFmtId="195" fontId="27" fillId="0" borderId="272" xfId="0" applyNumberFormat="1" applyFont="1" applyBorder="1" applyAlignment="1">
      <alignment horizontal="center" vertical="center"/>
    </xf>
    <xf numFmtId="196" fontId="27" fillId="0" borderId="334" xfId="0" applyNumberFormat="1" applyFont="1" applyBorder="1" applyAlignment="1">
      <alignment horizontal="center" vertical="center"/>
    </xf>
    <xf numFmtId="194" fontId="27" fillId="0" borderId="331" xfId="0" applyNumberFormat="1" applyFont="1" applyBorder="1" applyAlignment="1">
      <alignment horizontal="center" vertical="center"/>
    </xf>
    <xf numFmtId="196" fontId="27" fillId="0" borderId="272" xfId="0" applyNumberFormat="1" applyFont="1" applyBorder="1" applyAlignment="1">
      <alignment horizontal="center" vertical="center"/>
    </xf>
    <xf numFmtId="196" fontId="27" fillId="0" borderId="335" xfId="0" applyNumberFormat="1" applyFont="1" applyBorder="1" applyAlignment="1">
      <alignment horizontal="center" vertical="center"/>
    </xf>
    <xf numFmtId="195" fontId="27" fillId="0" borderId="334" xfId="0" applyNumberFormat="1" applyFont="1" applyBorder="1" applyAlignment="1">
      <alignment horizontal="center" vertical="center"/>
    </xf>
    <xf numFmtId="0" fontId="27" fillId="0" borderId="331" xfId="0" applyFont="1" applyBorder="1" applyAlignment="1">
      <alignment horizontal="center" vertical="center"/>
    </xf>
    <xf numFmtId="196" fontId="27" fillId="0" borderId="336" xfId="0" applyNumberFormat="1" applyFont="1" applyBorder="1" applyAlignment="1">
      <alignment horizontal="center" vertical="center"/>
    </xf>
    <xf numFmtId="196" fontId="27" fillId="0" borderId="329" xfId="0" applyNumberFormat="1" applyFont="1" applyBorder="1" applyAlignment="1">
      <alignment horizontal="center" vertical="center"/>
    </xf>
    <xf numFmtId="196" fontId="27" fillId="0" borderId="337" xfId="0" applyNumberFormat="1" applyFont="1" applyBorder="1" applyAlignment="1">
      <alignment horizontal="center" vertical="center"/>
    </xf>
    <xf numFmtId="194" fontId="27" fillId="0" borderId="336" xfId="0" applyNumberFormat="1" applyFont="1" applyBorder="1" applyAlignment="1">
      <alignment horizontal="center" vertical="center"/>
    </xf>
    <xf numFmtId="194" fontId="27" fillId="0" borderId="272" xfId="0" applyNumberFormat="1" applyFont="1" applyBorder="1" applyAlignment="1">
      <alignment horizontal="center" vertical="center"/>
    </xf>
    <xf numFmtId="196" fontId="27" fillId="0" borderId="333" xfId="0" applyNumberFormat="1" applyFont="1" applyBorder="1" applyAlignment="1">
      <alignment horizontal="center" vertical="center"/>
    </xf>
    <xf numFmtId="0" fontId="27" fillId="0" borderId="333" xfId="0" applyFont="1" applyBorder="1" applyAlignment="1">
      <alignment horizontal="center" vertical="center"/>
    </xf>
    <xf numFmtId="168" fontId="27" fillId="9" borderId="126" xfId="0" applyNumberFormat="1" applyFont="1" applyFill="1" applyBorder="1" applyAlignment="1">
      <alignment horizontal="center" vertical="center"/>
    </xf>
    <xf numFmtId="176" fontId="27" fillId="9" borderId="146" xfId="0" applyNumberFormat="1" applyFont="1" applyFill="1" applyBorder="1" applyAlignment="1">
      <alignment horizontal="center" vertical="center"/>
    </xf>
    <xf numFmtId="168" fontId="27" fillId="9" borderId="187" xfId="0" applyNumberFormat="1" applyFont="1" applyFill="1" applyBorder="1" applyAlignment="1">
      <alignment horizontal="center" vertical="center"/>
    </xf>
    <xf numFmtId="176" fontId="27" fillId="9" borderId="188" xfId="0" applyNumberFormat="1" applyFont="1" applyFill="1" applyBorder="1" applyAlignment="1">
      <alignment horizontal="center" vertical="center"/>
    </xf>
    <xf numFmtId="194" fontId="27" fillId="0" borderId="317" xfId="0" applyNumberFormat="1" applyFont="1" applyBorder="1" applyAlignment="1">
      <alignment horizontal="center" vertical="center"/>
    </xf>
    <xf numFmtId="195" fontId="27" fillId="0" borderId="270" xfId="0" applyNumberFormat="1" applyFont="1" applyBorder="1" applyAlignment="1">
      <alignment horizontal="center" vertical="center"/>
    </xf>
    <xf numFmtId="196" fontId="27" fillId="0" borderId="323" xfId="0" applyNumberFormat="1" applyFont="1" applyBorder="1" applyAlignment="1">
      <alignment horizontal="center" vertical="center"/>
    </xf>
    <xf numFmtId="194" fontId="27" fillId="0" borderId="321" xfId="0" applyNumberFormat="1" applyFont="1" applyBorder="1" applyAlignment="1">
      <alignment horizontal="center" vertical="center"/>
    </xf>
    <xf numFmtId="196" fontId="27" fillId="0" borderId="270" xfId="0" applyNumberFormat="1" applyFont="1" applyBorder="1" applyAlignment="1">
      <alignment horizontal="center" vertical="center"/>
    </xf>
    <xf numFmtId="196" fontId="27" fillId="0" borderId="325" xfId="0" applyNumberFormat="1" applyFont="1" applyBorder="1" applyAlignment="1">
      <alignment horizontal="center" vertical="center"/>
    </xf>
    <xf numFmtId="195" fontId="27" fillId="0" borderId="323" xfId="0" applyNumberFormat="1" applyFont="1" applyBorder="1" applyAlignment="1">
      <alignment horizontal="center" vertical="center"/>
    </xf>
    <xf numFmtId="0" fontId="27" fillId="0" borderId="321" xfId="0" applyFont="1" applyBorder="1" applyAlignment="1">
      <alignment horizontal="center" vertical="center"/>
    </xf>
    <xf numFmtId="196" fontId="27" fillId="0" borderId="312" xfId="0" applyNumberFormat="1" applyFont="1" applyBorder="1" applyAlignment="1">
      <alignment horizontal="center" vertical="center"/>
    </xf>
    <xf numFmtId="196" fontId="27" fillId="0" borderId="317" xfId="0" applyNumberFormat="1" applyFont="1" applyBorder="1" applyAlignment="1">
      <alignment horizontal="center" vertical="center"/>
    </xf>
    <xf numFmtId="196" fontId="27" fillId="0" borderId="311" xfId="0" applyNumberFormat="1" applyFont="1" applyBorder="1" applyAlignment="1">
      <alignment horizontal="center" vertical="center"/>
    </xf>
    <xf numFmtId="194" fontId="27" fillId="0" borderId="312" xfId="0" applyNumberFormat="1" applyFont="1" applyBorder="1" applyAlignment="1">
      <alignment horizontal="center" vertical="center"/>
    </xf>
    <xf numFmtId="194" fontId="27" fillId="0" borderId="270" xfId="0" applyNumberFormat="1" applyFont="1" applyBorder="1" applyAlignment="1">
      <alignment horizontal="center" vertical="center"/>
    </xf>
    <xf numFmtId="196" fontId="27" fillId="0" borderId="315" xfId="0" applyNumberFormat="1" applyFont="1" applyBorder="1" applyAlignment="1">
      <alignment horizontal="center" vertical="center"/>
    </xf>
    <xf numFmtId="0" fontId="27" fillId="0" borderId="315" xfId="0" applyFont="1" applyBorder="1" applyAlignment="1">
      <alignment horizontal="center" vertical="center"/>
    </xf>
    <xf numFmtId="0" fontId="29" fillId="7" borderId="101" xfId="0" applyFont="1" applyFill="1" applyBorder="1" applyAlignment="1">
      <alignment horizontal="center" vertical="center"/>
    </xf>
    <xf numFmtId="0" fontId="29" fillId="7" borderId="11" xfId="0" applyFont="1" applyFill="1" applyBorder="1" applyAlignment="1">
      <alignment horizontal="center" vertical="center"/>
    </xf>
    <xf numFmtId="0" fontId="29" fillId="7" borderId="102" xfId="0" applyFont="1" applyFill="1" applyBorder="1" applyAlignment="1">
      <alignment horizontal="center" vertical="center"/>
    </xf>
    <xf numFmtId="0" fontId="29" fillId="7" borderId="103" xfId="0" applyFont="1" applyFill="1" applyBorder="1" applyAlignment="1">
      <alignment horizontal="center" vertical="center"/>
    </xf>
    <xf numFmtId="168" fontId="27" fillId="9" borderId="123" xfId="0" applyNumberFormat="1" applyFont="1" applyFill="1" applyBorder="1" applyAlignment="1">
      <alignment horizontal="center" vertical="center"/>
    </xf>
    <xf numFmtId="176" fontId="27" fillId="9" borderId="24" xfId="0" applyNumberFormat="1" applyFont="1" applyFill="1" applyBorder="1" applyAlignment="1">
      <alignment horizontal="center" vertical="center"/>
    </xf>
    <xf numFmtId="168" fontId="27" fillId="9" borderId="106" xfId="0" applyNumberFormat="1" applyFont="1" applyFill="1" applyBorder="1" applyAlignment="1">
      <alignment horizontal="center" vertical="center"/>
    </xf>
    <xf numFmtId="176" fontId="27" fillId="9" borderId="107" xfId="0" applyNumberFormat="1" applyFont="1" applyFill="1" applyBorder="1" applyAlignment="1">
      <alignment horizontal="center" vertical="center"/>
    </xf>
    <xf numFmtId="0" fontId="27" fillId="0" borderId="0" xfId="0" applyFont="1"/>
    <xf numFmtId="176" fontId="27" fillId="9" borderId="46" xfId="0" applyNumberFormat="1" applyFont="1" applyFill="1" applyBorder="1" applyAlignment="1">
      <alignment horizontal="center" vertical="center"/>
    </xf>
    <xf numFmtId="176" fontId="27" fillId="9" borderId="53" xfId="0" applyNumberFormat="1" applyFont="1" applyFill="1" applyBorder="1" applyAlignment="1">
      <alignment horizontal="center" vertical="center"/>
    </xf>
    <xf numFmtId="0" fontId="27" fillId="0" borderId="246" xfId="0" applyFont="1" applyBorder="1"/>
    <xf numFmtId="0" fontId="27" fillId="0" borderId="246" xfId="0" applyFont="1" applyBorder="1" applyAlignment="1">
      <alignment horizontal="center" vertical="center"/>
    </xf>
    <xf numFmtId="194" fontId="27" fillId="0" borderId="318" xfId="0" applyNumberFormat="1" applyFont="1" applyBorder="1" applyAlignment="1">
      <alignment horizontal="center" vertical="center"/>
    </xf>
    <xf numFmtId="195" fontId="27" fillId="0" borderId="319" xfId="0" applyNumberFormat="1" applyFont="1" applyBorder="1" applyAlignment="1">
      <alignment horizontal="center" vertical="center"/>
    </xf>
    <xf numFmtId="196" fontId="27" fillId="0" borderId="324" xfId="0" applyNumberFormat="1" applyFont="1" applyBorder="1" applyAlignment="1">
      <alignment horizontal="center" vertical="center"/>
    </xf>
    <xf numFmtId="194" fontId="27" fillId="0" borderId="322" xfId="0" applyNumberFormat="1" applyFont="1" applyBorder="1" applyAlignment="1">
      <alignment horizontal="center" vertical="center"/>
    </xf>
    <xf numFmtId="196" fontId="27" fillId="0" borderId="319" xfId="0" applyNumberFormat="1" applyFont="1" applyBorder="1" applyAlignment="1">
      <alignment horizontal="center" vertical="center"/>
    </xf>
    <xf numFmtId="196" fontId="27" fillId="0" borderId="326" xfId="0" applyNumberFormat="1" applyFont="1" applyBorder="1" applyAlignment="1">
      <alignment horizontal="center" vertical="center"/>
    </xf>
    <xf numFmtId="196" fontId="27" fillId="0" borderId="273" xfId="0" applyNumberFormat="1" applyFont="1" applyBorder="1" applyAlignment="1">
      <alignment horizontal="center" vertical="center"/>
    </xf>
    <xf numFmtId="194" fontId="27" fillId="0" borderId="332" xfId="0" applyNumberFormat="1" applyFont="1" applyBorder="1" applyAlignment="1">
      <alignment horizontal="center" vertical="center"/>
    </xf>
    <xf numFmtId="195" fontId="27" fillId="0" borderId="324" xfId="0" applyNumberFormat="1" applyFont="1" applyBorder="1" applyAlignment="1">
      <alignment horizontal="center" vertical="center"/>
    </xf>
    <xf numFmtId="0" fontId="27" fillId="0" borderId="327" xfId="0" applyFont="1" applyBorder="1" applyAlignment="1">
      <alignment horizontal="center" vertical="center"/>
    </xf>
    <xf numFmtId="196" fontId="27" fillId="0" borderId="314" xfId="0" applyNumberFormat="1" applyFont="1" applyBorder="1" applyAlignment="1">
      <alignment horizontal="center" vertical="center"/>
    </xf>
    <xf numFmtId="196" fontId="27" fillId="0" borderId="330" xfId="0" applyNumberFormat="1" applyFont="1" applyBorder="1" applyAlignment="1">
      <alignment horizontal="center" vertical="center"/>
    </xf>
    <xf numFmtId="195" fontId="27" fillId="0" borderId="273" xfId="0" applyNumberFormat="1" applyFont="1" applyBorder="1" applyAlignment="1">
      <alignment horizontal="center" vertical="center"/>
    </xf>
    <xf numFmtId="196" fontId="27" fillId="0" borderId="313" xfId="0" applyNumberFormat="1" applyFont="1" applyBorder="1" applyAlignment="1">
      <alignment horizontal="center" vertical="center"/>
    </xf>
    <xf numFmtId="194" fontId="27" fillId="0" borderId="314" xfId="0" applyNumberFormat="1" applyFont="1" applyBorder="1" applyAlignment="1">
      <alignment horizontal="center" vertical="center"/>
    </xf>
    <xf numFmtId="196" fontId="27" fillId="0" borderId="328" xfId="0" applyNumberFormat="1" applyFont="1" applyBorder="1" applyAlignment="1">
      <alignment horizontal="center" vertical="center"/>
    </xf>
    <xf numFmtId="194" fontId="27" fillId="0" borderId="271" xfId="0" applyNumberFormat="1" applyFont="1" applyBorder="1" applyAlignment="1">
      <alignment horizontal="center" vertical="center"/>
    </xf>
    <xf numFmtId="196" fontId="27" fillId="0" borderId="316" xfId="0" applyNumberFormat="1" applyFont="1" applyBorder="1" applyAlignment="1">
      <alignment horizontal="center" vertical="center"/>
    </xf>
    <xf numFmtId="194" fontId="27" fillId="0" borderId="319" xfId="0" applyNumberFormat="1" applyFont="1" applyBorder="1" applyAlignment="1">
      <alignment horizontal="center" vertical="center"/>
    </xf>
    <xf numFmtId="0" fontId="27" fillId="0" borderId="316" xfId="0" applyFont="1" applyBorder="1" applyAlignment="1">
      <alignment horizontal="center" vertical="center"/>
    </xf>
    <xf numFmtId="194" fontId="27" fillId="0" borderId="327" xfId="0" applyNumberFormat="1" applyFont="1" applyBorder="1" applyAlignment="1">
      <alignment horizontal="center" vertical="center"/>
    </xf>
    <xf numFmtId="191" fontId="0" fillId="0" borderId="246" xfId="0" applyNumberFormat="1" applyBorder="1"/>
    <xf numFmtId="14" fontId="0" fillId="0" borderId="0" xfId="0" applyNumberFormat="1"/>
    <xf numFmtId="20" fontId="0" fillId="0" borderId="0" xfId="0" applyNumberFormat="1"/>
    <xf numFmtId="200" fontId="0" fillId="20" borderId="246" xfId="0" applyNumberFormat="1" applyFill="1" applyBorder="1" applyAlignment="1">
      <alignment horizontal="center" vertical="center"/>
    </xf>
    <xf numFmtId="188" fontId="0" fillId="0" borderId="274" xfId="0" applyNumberFormat="1" applyBorder="1" applyAlignment="1">
      <alignment horizontal="center" vertical="center"/>
    </xf>
    <xf numFmtId="191" fontId="0" fillId="0" borderId="246" xfId="0" applyNumberFormat="1" applyBorder="1" applyAlignment="1">
      <alignment horizontal="center" vertical="center"/>
    </xf>
    <xf numFmtId="6" fontId="0" fillId="0" borderId="0" xfId="0" applyNumberFormat="1" applyAlignment="1">
      <alignment horizontal="center" vertical="center"/>
    </xf>
    <xf numFmtId="188" fontId="0" fillId="0" borderId="292" xfId="0" applyNumberFormat="1" applyBorder="1" applyAlignment="1">
      <alignment horizontal="center" vertical="center"/>
    </xf>
    <xf numFmtId="165" fontId="0" fillId="0" borderId="292" xfId="0" applyNumberFormat="1" applyBorder="1" applyAlignment="1">
      <alignment horizontal="center" vertical="center"/>
    </xf>
    <xf numFmtId="165" fontId="0" fillId="0" borderId="295" xfId="0" applyNumberFormat="1" applyBorder="1" applyAlignment="1">
      <alignment horizontal="center" vertical="center"/>
    </xf>
    <xf numFmtId="2" fontId="0" fillId="0" borderId="308" xfId="0" applyNumberFormat="1" applyBorder="1" applyAlignment="1">
      <alignment horizontal="center" vertical="center"/>
    </xf>
    <xf numFmtId="2" fontId="0" fillId="0" borderId="309" xfId="0" applyNumberFormat="1" applyBorder="1" applyAlignment="1">
      <alignment horizontal="center" vertical="center"/>
    </xf>
    <xf numFmtId="2" fontId="0" fillId="0" borderId="310" xfId="0" applyNumberFormat="1" applyBorder="1" applyAlignment="1">
      <alignment horizontal="center" vertical="center"/>
    </xf>
    <xf numFmtId="14" fontId="0" fillId="0" borderId="299" xfId="0" applyNumberFormat="1" applyBorder="1" applyAlignment="1">
      <alignment horizontal="center" vertical="center"/>
    </xf>
    <xf numFmtId="189" fontId="0" fillId="0" borderId="333" xfId="0" applyNumberFormat="1" applyBorder="1" applyAlignment="1">
      <alignment horizontal="center" vertical="center"/>
    </xf>
    <xf numFmtId="191" fontId="0" fillId="0" borderId="334" xfId="0" applyNumberFormat="1" applyBorder="1" applyAlignment="1">
      <alignment horizontal="center" vertical="center"/>
    </xf>
    <xf numFmtId="191" fontId="0" fillId="0" borderId="336" xfId="0" applyNumberFormat="1" applyBorder="1" applyAlignment="1">
      <alignment horizontal="center" vertical="center"/>
    </xf>
    <xf numFmtId="191" fontId="0" fillId="0" borderId="312" xfId="0" applyNumberFormat="1" applyBorder="1" applyAlignment="1">
      <alignment horizontal="center" vertical="center"/>
    </xf>
    <xf numFmtId="191" fontId="0" fillId="0" borderId="337" xfId="0" applyNumberFormat="1" applyBorder="1" applyAlignment="1">
      <alignment horizontal="center" vertical="center"/>
    </xf>
    <xf numFmtId="191" fontId="0" fillId="0" borderId="329" xfId="0" applyNumberFormat="1" applyBorder="1" applyAlignment="1">
      <alignment horizontal="center" vertical="center"/>
    </xf>
    <xf numFmtId="191" fontId="0" fillId="0" borderId="311" xfId="0" applyNumberFormat="1" applyBorder="1" applyAlignment="1">
      <alignment horizontal="center" vertical="center"/>
    </xf>
    <xf numFmtId="197" fontId="0" fillId="21" borderId="276" xfId="0" applyNumberFormat="1" applyFill="1" applyBorder="1" applyAlignment="1">
      <alignment horizontal="center" vertical="center"/>
    </xf>
    <xf numFmtId="0" fontId="0" fillId="22" borderId="349" xfId="0" applyFill="1" applyBorder="1" applyAlignment="1">
      <alignment horizontal="center" vertical="center"/>
    </xf>
    <xf numFmtId="0" fontId="0" fillId="21" borderId="350" xfId="0" applyFill="1" applyBorder="1" applyAlignment="1">
      <alignment horizontal="center" vertical="center"/>
    </xf>
    <xf numFmtId="172" fontId="0" fillId="21" borderId="350" xfId="0" applyNumberFormat="1" applyFill="1" applyBorder="1" applyAlignment="1">
      <alignment horizontal="center" vertical="center"/>
    </xf>
    <xf numFmtId="168" fontId="0" fillId="0" borderId="306" xfId="0" applyNumberFormat="1" applyBorder="1" applyAlignment="1">
      <alignment horizontal="center" vertical="center"/>
    </xf>
    <xf numFmtId="168" fontId="0" fillId="0" borderId="297" xfId="0" applyNumberFormat="1" applyBorder="1" applyAlignment="1">
      <alignment horizontal="center" vertical="center"/>
    </xf>
    <xf numFmtId="168" fontId="0" fillId="0" borderId="292" xfId="0" applyNumberFormat="1" applyBorder="1" applyAlignment="1">
      <alignment horizontal="center" vertical="center"/>
    </xf>
    <xf numFmtId="191" fontId="0" fillId="0" borderId="313" xfId="0" applyNumberFormat="1" applyBorder="1" applyAlignment="1">
      <alignment horizontal="center" vertical="center"/>
    </xf>
    <xf numFmtId="189" fontId="0" fillId="0" borderId="334" xfId="0" applyNumberFormat="1" applyBorder="1" applyAlignment="1">
      <alignment horizontal="center" vertical="center"/>
    </xf>
    <xf numFmtId="189" fontId="0" fillId="0" borderId="323" xfId="0" applyNumberFormat="1" applyBorder="1" applyAlignment="1">
      <alignment horizontal="center" vertical="center"/>
    </xf>
    <xf numFmtId="189" fontId="0" fillId="0" borderId="324" xfId="0" applyNumberFormat="1" applyBorder="1" applyAlignment="1">
      <alignment horizontal="center" vertical="center"/>
    </xf>
    <xf numFmtId="191" fontId="0" fillId="0" borderId="352" xfId="0" applyNumberFormat="1" applyBorder="1" applyAlignment="1">
      <alignment horizontal="center" vertical="center"/>
    </xf>
    <xf numFmtId="191" fontId="0" fillId="0" borderId="353" xfId="0" applyNumberFormat="1" applyBorder="1" applyAlignment="1">
      <alignment horizontal="center" vertical="center"/>
    </xf>
    <xf numFmtId="196" fontId="0" fillId="0" borderId="353" xfId="0" applyNumberFormat="1" applyBorder="1" applyAlignment="1">
      <alignment horizontal="center" vertical="center"/>
    </xf>
    <xf numFmtId="196" fontId="0" fillId="0" borderId="354" xfId="0" applyNumberFormat="1" applyBorder="1" applyAlignment="1">
      <alignment horizontal="center" vertical="center"/>
    </xf>
    <xf numFmtId="176" fontId="0" fillId="0" borderId="352" xfId="0" applyNumberFormat="1" applyBorder="1" applyAlignment="1">
      <alignment horizontal="center" vertical="center"/>
    </xf>
    <xf numFmtId="176" fontId="0" fillId="0" borderId="353" xfId="0" applyNumberFormat="1" applyBorder="1" applyAlignment="1">
      <alignment horizontal="center" vertical="center"/>
    </xf>
    <xf numFmtId="172" fontId="0" fillId="0" borderId="353" xfId="0" applyNumberFormat="1" applyBorder="1" applyAlignment="1">
      <alignment horizontal="center" vertical="center"/>
    </xf>
    <xf numFmtId="172" fontId="0" fillId="0" borderId="355" xfId="0" applyNumberFormat="1" applyBorder="1" applyAlignment="1">
      <alignment horizontal="center" vertical="center"/>
    </xf>
    <xf numFmtId="176" fontId="0" fillId="0" borderId="337" xfId="0" applyNumberFormat="1" applyBorder="1" applyAlignment="1">
      <alignment horizontal="center" vertical="center"/>
    </xf>
    <xf numFmtId="176" fontId="0" fillId="0" borderId="311" xfId="0" applyNumberFormat="1" applyBorder="1" applyAlignment="1">
      <alignment horizontal="center" vertical="center"/>
    </xf>
    <xf numFmtId="172" fontId="0" fillId="0" borderId="311" xfId="0" applyNumberFormat="1" applyBorder="1" applyAlignment="1">
      <alignment horizontal="center" vertical="center"/>
    </xf>
    <xf numFmtId="172" fontId="0" fillId="0" borderId="313" xfId="0" applyNumberFormat="1" applyBorder="1" applyAlignment="1">
      <alignment horizontal="center" vertical="center"/>
    </xf>
    <xf numFmtId="196" fontId="0" fillId="21" borderId="282" xfId="0" applyNumberFormat="1" applyFill="1" applyBorder="1" applyAlignment="1">
      <alignment horizontal="center" vertical="center"/>
    </xf>
    <xf numFmtId="196" fontId="0" fillId="21" borderId="280" xfId="0" applyNumberFormat="1" applyFill="1" applyBorder="1" applyAlignment="1">
      <alignment horizontal="center" vertical="center"/>
    </xf>
    <xf numFmtId="188" fontId="0" fillId="21" borderId="280" xfId="0" applyNumberFormat="1" applyFill="1" applyBorder="1" applyAlignment="1">
      <alignment horizontal="center" vertical="center"/>
    </xf>
    <xf numFmtId="196" fontId="0" fillId="21" borderId="281" xfId="0" applyNumberFormat="1" applyFill="1" applyBorder="1" applyAlignment="1">
      <alignment horizontal="center" vertical="center"/>
    </xf>
    <xf numFmtId="14" fontId="0" fillId="0" borderId="296" xfId="0" applyNumberFormat="1" applyBorder="1" applyAlignment="1">
      <alignment horizontal="center" vertical="center"/>
    </xf>
    <xf numFmtId="14" fontId="0" fillId="0" borderId="294" xfId="0" applyNumberFormat="1" applyBorder="1" applyAlignment="1">
      <alignment horizontal="center" vertical="center"/>
    </xf>
    <xf numFmtId="0" fontId="22" fillId="0" borderId="302" xfId="1" applyBorder="1" applyAlignment="1">
      <alignment horizontal="center" vertical="center"/>
    </xf>
    <xf numFmtId="0" fontId="0" fillId="0" borderId="306" xfId="0" applyBorder="1" applyAlignment="1">
      <alignment horizontal="center" vertical="center" wrapText="1"/>
    </xf>
    <xf numFmtId="191" fontId="0" fillId="0" borderId="323" xfId="0" applyNumberFormat="1" applyBorder="1" applyAlignment="1">
      <alignment horizontal="center" vertical="center"/>
    </xf>
    <xf numFmtId="168" fontId="0" fillId="0" borderId="0" xfId="0" applyNumberFormat="1"/>
    <xf numFmtId="191" fontId="0" fillId="21" borderId="280" xfId="0" applyNumberFormat="1" applyFill="1" applyBorder="1" applyAlignment="1">
      <alignment horizontal="center" vertical="center"/>
    </xf>
    <xf numFmtId="191" fontId="0" fillId="21" borderId="276" xfId="0" applyNumberFormat="1" applyFill="1" applyBorder="1" applyAlignment="1">
      <alignment horizontal="center" vertical="center"/>
    </xf>
    <xf numFmtId="172" fontId="0" fillId="21" borderId="288" xfId="0" applyNumberFormat="1" applyFill="1" applyBorder="1" applyAlignment="1">
      <alignment horizontal="center" vertical="center"/>
    </xf>
    <xf numFmtId="176" fontId="0" fillId="22" borderId="284" xfId="0" applyNumberFormat="1" applyFill="1" applyBorder="1" applyAlignment="1">
      <alignment horizontal="center" vertical="center"/>
    </xf>
    <xf numFmtId="191" fontId="0" fillId="21" borderId="282" xfId="0" applyNumberFormat="1" applyFill="1" applyBorder="1" applyAlignment="1">
      <alignment horizontal="center" vertical="center"/>
    </xf>
    <xf numFmtId="176" fontId="0" fillId="21" borderId="288" xfId="0" applyNumberFormat="1" applyFill="1" applyBorder="1" applyAlignment="1">
      <alignment horizontal="center" vertical="center"/>
    </xf>
    <xf numFmtId="176" fontId="0" fillId="22" borderId="349" xfId="0" applyNumberFormat="1" applyFill="1" applyBorder="1" applyAlignment="1">
      <alignment horizontal="center" vertical="center"/>
    </xf>
    <xf numFmtId="191" fontId="0" fillId="21" borderId="350" xfId="0" applyNumberFormat="1" applyFill="1" applyBorder="1" applyAlignment="1">
      <alignment horizontal="center" vertical="center"/>
    </xf>
    <xf numFmtId="176" fontId="0" fillId="0" borderId="246" xfId="0" applyNumberFormat="1" applyBorder="1" applyAlignment="1">
      <alignment horizontal="center" vertical="center"/>
    </xf>
    <xf numFmtId="191" fontId="0" fillId="21" borderId="283" xfId="0" applyNumberFormat="1" applyFill="1" applyBorder="1" applyAlignment="1">
      <alignment horizontal="center" vertical="center"/>
    </xf>
    <xf numFmtId="191" fontId="0" fillId="21" borderId="277" xfId="0" applyNumberFormat="1" applyFill="1" applyBorder="1" applyAlignment="1">
      <alignment horizontal="center" vertical="center"/>
    </xf>
    <xf numFmtId="0" fontId="0" fillId="22" borderId="356" xfId="0" applyFill="1" applyBorder="1" applyAlignment="1">
      <alignment horizontal="center" vertical="center"/>
    </xf>
    <xf numFmtId="0" fontId="0" fillId="21" borderId="357" xfId="0" applyFill="1" applyBorder="1" applyAlignment="1">
      <alignment horizontal="center" vertical="center"/>
    </xf>
    <xf numFmtId="176" fontId="0" fillId="0" borderId="295" xfId="0" applyNumberFormat="1" applyBorder="1" applyAlignment="1">
      <alignment horizontal="center" vertical="center"/>
    </xf>
    <xf numFmtId="176" fontId="0" fillId="0" borderId="296" xfId="0" applyNumberFormat="1" applyBorder="1" applyAlignment="1">
      <alignment horizontal="center" vertical="center"/>
    </xf>
    <xf numFmtId="0" fontId="0" fillId="0" borderId="296" xfId="0" quotePrefix="1" applyBorder="1" applyAlignment="1">
      <alignment horizontal="center" vertical="center"/>
    </xf>
    <xf numFmtId="191" fontId="0" fillId="0" borderId="358" xfId="0" applyNumberFormat="1" applyBorder="1" applyAlignment="1">
      <alignment horizontal="center" vertical="center"/>
    </xf>
    <xf numFmtId="0" fontId="0" fillId="23" borderId="295" xfId="0" quotePrefix="1" applyFill="1" applyBorder="1" applyAlignment="1">
      <alignment horizontal="center" vertical="center"/>
    </xf>
    <xf numFmtId="168" fontId="0" fillId="23" borderId="295" xfId="0" applyNumberFormat="1" applyFill="1" applyBorder="1" applyAlignment="1">
      <alignment horizontal="center" vertical="center"/>
    </xf>
    <xf numFmtId="0" fontId="0" fillId="23" borderId="295" xfId="0" applyFill="1" applyBorder="1" applyAlignment="1">
      <alignment horizontal="center" vertical="center"/>
    </xf>
    <xf numFmtId="0" fontId="0" fillId="23" borderId="296" xfId="0" applyFill="1" applyBorder="1" applyAlignment="1">
      <alignment horizontal="center" vertical="center"/>
    </xf>
    <xf numFmtId="168" fontId="0" fillId="23" borderId="296" xfId="0" applyNumberFormat="1" applyFill="1" applyBorder="1" applyAlignment="1">
      <alignment horizontal="center" vertical="center"/>
    </xf>
    <xf numFmtId="1" fontId="0" fillId="0" borderId="292" xfId="0" applyNumberFormat="1" applyBorder="1" applyAlignment="1">
      <alignment horizontal="center" vertical="center"/>
    </xf>
    <xf numFmtId="1" fontId="0" fillId="0" borderId="295" xfId="0" applyNumberFormat="1" applyBorder="1" applyAlignment="1">
      <alignment horizontal="center" vertical="center"/>
    </xf>
    <xf numFmtId="193" fontId="0" fillId="0" borderId="359" xfId="0" applyNumberFormat="1" applyBorder="1" applyAlignment="1">
      <alignment horizontal="center" vertical="center"/>
    </xf>
    <xf numFmtId="0" fontId="0" fillId="0" borderId="360" xfId="0" applyBorder="1" applyAlignment="1">
      <alignment horizontal="center" vertical="center"/>
    </xf>
    <xf numFmtId="199" fontId="0" fillId="0" borderId="361" xfId="0" applyNumberFormat="1" applyBorder="1" applyAlignment="1">
      <alignment horizontal="center" vertical="center"/>
    </xf>
    <xf numFmtId="2" fontId="0" fillId="0" borderId="362" xfId="0" applyNumberFormat="1" applyBorder="1" applyAlignment="1">
      <alignment horizontal="center" vertical="center"/>
    </xf>
    <xf numFmtId="199" fontId="0" fillId="0" borderId="363" xfId="0" applyNumberFormat="1" applyBorder="1" applyAlignment="1">
      <alignment horizontal="center" vertical="center"/>
    </xf>
    <xf numFmtId="199" fontId="0" fillId="0" borderId="364" xfId="0" applyNumberFormat="1" applyBorder="1" applyAlignment="1">
      <alignment horizontal="center" vertical="center"/>
    </xf>
    <xf numFmtId="199" fontId="0" fillId="0" borderId="360" xfId="0" applyNumberFormat="1" applyBorder="1" applyAlignment="1">
      <alignment horizontal="center" vertical="center"/>
    </xf>
    <xf numFmtId="0" fontId="0" fillId="0" borderId="363" xfId="0" applyBorder="1" applyAlignment="1">
      <alignment horizontal="center" vertical="center"/>
    </xf>
    <xf numFmtId="1" fontId="0" fillId="0" borderId="362" xfId="0" applyNumberFormat="1" applyBorder="1" applyAlignment="1">
      <alignment horizontal="center" vertical="center"/>
    </xf>
    <xf numFmtId="193" fontId="0" fillId="0" borderId="365" xfId="0" applyNumberFormat="1" applyBorder="1" applyAlignment="1">
      <alignment horizontal="center" vertical="center"/>
    </xf>
    <xf numFmtId="199" fontId="0" fillId="0" borderId="366" xfId="0" applyNumberFormat="1" applyBorder="1" applyAlignment="1">
      <alignment horizontal="center" vertical="center"/>
    </xf>
    <xf numFmtId="2" fontId="0" fillId="0" borderId="366" xfId="0" applyNumberFormat="1" applyBorder="1" applyAlignment="1">
      <alignment horizontal="center" vertical="center"/>
    </xf>
    <xf numFmtId="199" fontId="0" fillId="0" borderId="365" xfId="0" applyNumberFormat="1" applyBorder="1" applyAlignment="1">
      <alignment horizontal="center" vertical="center"/>
    </xf>
    <xf numFmtId="199" fontId="0" fillId="0" borderId="47" xfId="0" applyNumberFormat="1" applyBorder="1" applyAlignment="1">
      <alignment horizontal="center" vertical="center"/>
    </xf>
    <xf numFmtId="0" fontId="0" fillId="0" borderId="365" xfId="0" applyBorder="1" applyAlignment="1">
      <alignment horizontal="center" vertical="center"/>
    </xf>
    <xf numFmtId="1" fontId="0" fillId="0" borderId="366" xfId="0" applyNumberFormat="1" applyBorder="1" applyAlignment="1">
      <alignment horizontal="center" vertical="center"/>
    </xf>
    <xf numFmtId="0" fontId="22" fillId="0" borderId="365" xfId="1" applyBorder="1" applyAlignment="1">
      <alignment horizontal="center" vertical="center"/>
    </xf>
    <xf numFmtId="1" fontId="0" fillId="0" borderId="363" xfId="0" applyNumberFormat="1" applyBorder="1" applyAlignment="1">
      <alignment horizontal="center" vertical="center"/>
    </xf>
    <xf numFmtId="1" fontId="0" fillId="0" borderId="365" xfId="0" applyNumberFormat="1" applyBorder="1" applyAlignment="1">
      <alignment horizontal="center" vertical="center"/>
    </xf>
    <xf numFmtId="0" fontId="31" fillId="20" borderId="251" xfId="0" applyFont="1" applyFill="1" applyBorder="1" applyAlignment="1">
      <alignment horizontal="center" vertical="center"/>
    </xf>
    <xf numFmtId="168" fontId="0" fillId="0" borderId="47" xfId="0" applyNumberFormat="1" applyBorder="1" applyAlignment="1">
      <alignment horizontal="center" vertical="center"/>
    </xf>
    <xf numFmtId="196" fontId="0" fillId="24" borderId="325" xfId="0" applyNumberFormat="1" applyFill="1" applyBorder="1" applyAlignment="1">
      <alignment horizontal="center" vertical="center"/>
    </xf>
    <xf numFmtId="191" fontId="0" fillId="24" borderId="334" xfId="0" applyNumberFormat="1" applyFill="1" applyBorder="1" applyAlignment="1">
      <alignment horizontal="center" vertical="center"/>
    </xf>
    <xf numFmtId="191" fontId="0" fillId="24" borderId="323" xfId="0" applyNumberFormat="1" applyFill="1" applyBorder="1" applyAlignment="1">
      <alignment horizontal="center" vertical="center"/>
    </xf>
    <xf numFmtId="196" fontId="0" fillId="24" borderId="323" xfId="0" applyNumberFormat="1" applyFill="1" applyBorder="1" applyAlignment="1">
      <alignment horizontal="center" vertical="center"/>
    </xf>
    <xf numFmtId="191" fontId="0" fillId="0" borderId="0" xfId="0" applyNumberFormat="1"/>
    <xf numFmtId="197" fontId="0" fillId="22" borderId="284" xfId="0" applyNumberFormat="1" applyFill="1" applyBorder="1" applyAlignment="1">
      <alignment horizontal="center" vertical="center"/>
    </xf>
    <xf numFmtId="197" fontId="0" fillId="21" borderId="288" xfId="0" applyNumberFormat="1" applyFill="1" applyBorder="1" applyAlignment="1">
      <alignment horizontal="center" vertical="center"/>
    </xf>
    <xf numFmtId="197" fontId="0" fillId="22" borderId="349" xfId="0" applyNumberFormat="1" applyFill="1" applyBorder="1" applyAlignment="1">
      <alignment horizontal="center" vertical="center"/>
    </xf>
    <xf numFmtId="197" fontId="0" fillId="21" borderId="350" xfId="0" applyNumberFormat="1" applyFill="1" applyBorder="1" applyAlignment="1">
      <alignment horizontal="center" vertical="center"/>
    </xf>
    <xf numFmtId="191" fontId="0" fillId="21" borderId="367" xfId="0" applyNumberFormat="1" applyFill="1" applyBorder="1" applyAlignment="1">
      <alignment horizontal="center" vertical="center"/>
    </xf>
    <xf numFmtId="0" fontId="0" fillId="22" borderId="368" xfId="0" applyFill="1" applyBorder="1" applyAlignment="1">
      <alignment horizontal="center" vertical="center"/>
    </xf>
    <xf numFmtId="197" fontId="0" fillId="21" borderId="370" xfId="0" applyNumberFormat="1" applyFill="1" applyBorder="1" applyAlignment="1">
      <alignment horizontal="center" vertical="center"/>
    </xf>
    <xf numFmtId="194" fontId="0" fillId="0" borderId="372" xfId="0" applyNumberFormat="1" applyBorder="1" applyAlignment="1">
      <alignment horizontal="center" vertical="center"/>
    </xf>
    <xf numFmtId="194" fontId="0" fillId="0" borderId="373" xfId="0" applyNumberFormat="1" applyBorder="1" applyAlignment="1">
      <alignment horizontal="center" vertical="center"/>
    </xf>
    <xf numFmtId="194" fontId="0" fillId="0" borderId="374" xfId="0" applyNumberFormat="1" applyBorder="1" applyAlignment="1">
      <alignment horizontal="center" vertical="center"/>
    </xf>
    <xf numFmtId="194" fontId="0" fillId="0" borderId="375" xfId="0" applyNumberFormat="1" applyBorder="1" applyAlignment="1">
      <alignment horizontal="center" vertical="center"/>
    </xf>
    <xf numFmtId="191" fontId="33" fillId="21" borderId="276" xfId="0" applyNumberFormat="1" applyFont="1" applyFill="1" applyBorder="1" applyAlignment="1">
      <alignment horizontal="center" vertical="center"/>
    </xf>
    <xf numFmtId="191" fontId="33" fillId="21" borderId="370" xfId="0" applyNumberFormat="1" applyFont="1" applyFill="1" applyBorder="1" applyAlignment="1">
      <alignment horizontal="center" vertical="center"/>
    </xf>
    <xf numFmtId="189" fontId="0" fillId="21" borderId="367" xfId="0" applyNumberFormat="1" applyFill="1" applyBorder="1" applyAlignment="1">
      <alignment horizontal="center" vertical="center"/>
    </xf>
    <xf numFmtId="191" fontId="32" fillId="21" borderId="370" xfId="0" applyNumberFormat="1" applyFont="1" applyFill="1" applyBorder="1" applyAlignment="1">
      <alignment horizontal="center" vertical="center"/>
    </xf>
    <xf numFmtId="195" fontId="0" fillId="0" borderId="372" xfId="0" applyNumberFormat="1" applyBorder="1" applyAlignment="1">
      <alignment horizontal="center" vertical="center"/>
    </xf>
    <xf numFmtId="195" fontId="0" fillId="0" borderId="373" xfId="0" applyNumberFormat="1" applyBorder="1" applyAlignment="1">
      <alignment horizontal="center" vertical="center"/>
    </xf>
    <xf numFmtId="195" fontId="0" fillId="0" borderId="377" xfId="0" applyNumberFormat="1" applyBorder="1" applyAlignment="1">
      <alignment horizontal="center" vertical="center"/>
    </xf>
    <xf numFmtId="195" fontId="0" fillId="0" borderId="374" xfId="0" applyNumberFormat="1" applyBorder="1" applyAlignment="1">
      <alignment horizontal="center" vertical="center"/>
    </xf>
    <xf numFmtId="168" fontId="0" fillId="21" borderId="367" xfId="0" applyNumberFormat="1" applyFill="1" applyBorder="1" applyAlignment="1">
      <alignment horizontal="center" vertical="center"/>
    </xf>
    <xf numFmtId="196" fontId="0" fillId="21" borderId="370" xfId="0" applyNumberFormat="1" applyFill="1" applyBorder="1" applyAlignment="1">
      <alignment horizontal="center" vertical="center"/>
    </xf>
    <xf numFmtId="0" fontId="0" fillId="22" borderId="371" xfId="0" applyFill="1" applyBorder="1" applyAlignment="1">
      <alignment horizontal="center" vertical="center"/>
    </xf>
    <xf numFmtId="196" fontId="0" fillId="0" borderId="372" xfId="0" applyNumberFormat="1" applyBorder="1" applyAlignment="1">
      <alignment horizontal="center" vertical="center"/>
    </xf>
    <xf numFmtId="196" fontId="0" fillId="0" borderId="373" xfId="0" applyNumberFormat="1" applyBorder="1" applyAlignment="1">
      <alignment horizontal="center" vertical="center"/>
    </xf>
    <xf numFmtId="196" fontId="0" fillId="0" borderId="374" xfId="0" applyNumberFormat="1" applyBorder="1" applyAlignment="1">
      <alignment horizontal="center" vertical="center"/>
    </xf>
    <xf numFmtId="0" fontId="12" fillId="7" borderId="369" xfId="0" applyFont="1" applyFill="1" applyBorder="1" applyAlignment="1">
      <alignment horizontal="center" vertical="center"/>
    </xf>
    <xf numFmtId="196" fontId="0" fillId="21" borderId="367" xfId="0" applyNumberFormat="1" applyFill="1" applyBorder="1" applyAlignment="1">
      <alignment horizontal="center" vertical="center"/>
    </xf>
    <xf numFmtId="197" fontId="0" fillId="21" borderId="367" xfId="0" applyNumberFormat="1" applyFill="1" applyBorder="1" applyAlignment="1">
      <alignment horizontal="center" vertical="center"/>
    </xf>
    <xf numFmtId="196" fontId="0" fillId="0" borderId="377" xfId="0" applyNumberFormat="1" applyBorder="1" applyAlignment="1">
      <alignment horizontal="center" vertical="center"/>
    </xf>
    <xf numFmtId="189" fontId="0" fillId="0" borderId="272" xfId="0" applyNumberFormat="1" applyBorder="1" applyAlignment="1">
      <alignment horizontal="center" vertical="center"/>
    </xf>
    <xf numFmtId="189" fontId="0" fillId="0" borderId="270" xfId="0" applyNumberFormat="1" applyBorder="1" applyAlignment="1">
      <alignment horizontal="center" vertical="center"/>
    </xf>
    <xf numFmtId="189" fontId="0" fillId="0" borderId="319" xfId="0" applyNumberFormat="1" applyBorder="1" applyAlignment="1">
      <alignment horizontal="center" vertical="center"/>
    </xf>
    <xf numFmtId="189" fontId="0" fillId="21" borderId="370" xfId="0" applyNumberFormat="1" applyFill="1" applyBorder="1" applyAlignment="1">
      <alignment horizontal="center" vertical="center"/>
    </xf>
    <xf numFmtId="191" fontId="0" fillId="0" borderId="373" xfId="0" applyNumberFormat="1" applyBorder="1" applyAlignment="1">
      <alignment horizontal="center" vertical="center"/>
    </xf>
    <xf numFmtId="0" fontId="24" fillId="0" borderId="378" xfId="0" applyFont="1" applyBorder="1" applyAlignment="1">
      <alignment horizontal="center" vertical="center"/>
    </xf>
    <xf numFmtId="0" fontId="24" fillId="0" borderId="379" xfId="0" applyFont="1" applyBorder="1" applyAlignment="1">
      <alignment horizontal="center" vertical="center"/>
    </xf>
    <xf numFmtId="0" fontId="24" fillId="0" borderId="380" xfId="0" applyFont="1" applyBorder="1" applyAlignment="1">
      <alignment horizontal="center" vertical="center"/>
    </xf>
    <xf numFmtId="196" fontId="24" fillId="0" borderId="378" xfId="0" applyNumberFormat="1" applyFont="1" applyBorder="1" applyAlignment="1">
      <alignment horizontal="center" vertical="center"/>
    </xf>
    <xf numFmtId="191" fontId="0" fillId="0" borderId="372" xfId="0" applyNumberFormat="1" applyBorder="1" applyAlignment="1">
      <alignment horizontal="center" vertical="center"/>
    </xf>
    <xf numFmtId="0" fontId="0" fillId="21" borderId="381" xfId="0" applyFill="1" applyBorder="1" applyAlignment="1">
      <alignment horizontal="center" vertical="center"/>
    </xf>
    <xf numFmtId="0" fontId="0" fillId="21" borderId="382" xfId="0" applyFill="1" applyBorder="1" applyAlignment="1">
      <alignment horizontal="center" vertical="center"/>
    </xf>
    <xf numFmtId="0" fontId="0" fillId="21" borderId="383" xfId="0" applyFill="1" applyBorder="1" applyAlignment="1">
      <alignment horizontal="center" vertical="center"/>
    </xf>
    <xf numFmtId="0" fontId="0" fillId="21" borderId="384" xfId="0" applyFill="1" applyBorder="1" applyAlignment="1">
      <alignment horizontal="center" vertical="center"/>
    </xf>
    <xf numFmtId="176" fontId="0" fillId="21" borderId="384" xfId="0" applyNumberFormat="1" applyFill="1" applyBorder="1" applyAlignment="1">
      <alignment horizontal="center" vertical="center"/>
    </xf>
    <xf numFmtId="191" fontId="0" fillId="21" borderId="385" xfId="0" applyNumberFormat="1" applyFill="1" applyBorder="1" applyAlignment="1">
      <alignment horizontal="center" vertical="center"/>
    </xf>
    <xf numFmtId="196" fontId="0" fillId="0" borderId="387" xfId="0" applyNumberFormat="1" applyBorder="1" applyAlignment="1">
      <alignment horizontal="center" vertical="center"/>
    </xf>
    <xf numFmtId="196" fontId="0" fillId="0" borderId="388" xfId="0" applyNumberFormat="1" applyBorder="1" applyAlignment="1">
      <alignment horizontal="center" vertical="center"/>
    </xf>
    <xf numFmtId="196" fontId="0" fillId="0" borderId="389" xfId="0" applyNumberFormat="1" applyBorder="1" applyAlignment="1">
      <alignment horizontal="center" vertical="center"/>
    </xf>
    <xf numFmtId="194" fontId="0" fillId="0" borderId="390" xfId="0" applyNumberFormat="1" applyBorder="1" applyAlignment="1">
      <alignment horizontal="center" vertical="center"/>
    </xf>
    <xf numFmtId="194" fontId="0" fillId="0" borderId="391" xfId="0" applyNumberFormat="1" applyBorder="1" applyAlignment="1">
      <alignment horizontal="center" vertical="center"/>
    </xf>
    <xf numFmtId="194" fontId="0" fillId="0" borderId="392" xfId="0" applyNumberFormat="1" applyBorder="1" applyAlignment="1">
      <alignment horizontal="center" vertical="center"/>
    </xf>
    <xf numFmtId="0" fontId="0" fillId="0" borderId="390" xfId="0" applyBorder="1" applyAlignment="1">
      <alignment horizontal="center" vertical="center"/>
    </xf>
    <xf numFmtId="0" fontId="0" fillId="0" borderId="391" xfId="0" applyBorder="1" applyAlignment="1">
      <alignment horizontal="center" vertical="center"/>
    </xf>
    <xf numFmtId="0" fontId="0" fillId="0" borderId="393" xfId="0" applyBorder="1" applyAlignment="1">
      <alignment horizontal="center" vertical="center"/>
    </xf>
    <xf numFmtId="191" fontId="0" fillId="0" borderId="387" xfId="0" applyNumberFormat="1" applyBorder="1" applyAlignment="1">
      <alignment horizontal="center" vertical="center"/>
    </xf>
    <xf numFmtId="196" fontId="0" fillId="0" borderId="394" xfId="0" applyNumberFormat="1" applyBorder="1" applyAlignment="1">
      <alignment horizontal="center" vertical="center"/>
    </xf>
    <xf numFmtId="191" fontId="0" fillId="0" borderId="388" xfId="0" applyNumberFormat="1" applyBorder="1" applyAlignment="1">
      <alignment horizontal="center" vertical="center"/>
    </xf>
    <xf numFmtId="191" fontId="0" fillId="0" borderId="389" xfId="0" applyNumberFormat="1" applyBorder="1" applyAlignment="1">
      <alignment horizontal="center" vertical="center"/>
    </xf>
    <xf numFmtId="196" fontId="0" fillId="0" borderId="395" xfId="0" applyNumberFormat="1" applyBorder="1" applyAlignment="1">
      <alignment horizontal="center" vertical="center"/>
    </xf>
    <xf numFmtId="176" fontId="0" fillId="0" borderId="387" xfId="0" applyNumberFormat="1" applyBorder="1" applyAlignment="1">
      <alignment horizontal="center" vertical="center"/>
    </xf>
    <xf numFmtId="176" fontId="0" fillId="0" borderId="388" xfId="0" applyNumberFormat="1" applyBorder="1" applyAlignment="1">
      <alignment horizontal="center" vertical="center"/>
    </xf>
    <xf numFmtId="172" fontId="0" fillId="0" borderId="388" xfId="0" applyNumberFormat="1" applyBorder="1" applyAlignment="1">
      <alignment horizontal="center" vertical="center"/>
    </xf>
    <xf numFmtId="172" fontId="0" fillId="0" borderId="389" xfId="0" applyNumberFormat="1" applyBorder="1" applyAlignment="1">
      <alignment horizontal="center" vertical="center"/>
    </xf>
    <xf numFmtId="195" fontId="0" fillId="0" borderId="387" xfId="0" applyNumberFormat="1" applyBorder="1" applyAlignment="1">
      <alignment horizontal="center" vertical="center"/>
    </xf>
    <xf numFmtId="195" fontId="0" fillId="0" borderId="388" xfId="0" applyNumberFormat="1" applyBorder="1" applyAlignment="1">
      <alignment horizontal="center" vertical="center"/>
    </xf>
    <xf numFmtId="195" fontId="0" fillId="0" borderId="389" xfId="0" applyNumberFormat="1" applyBorder="1" applyAlignment="1">
      <alignment horizontal="center" vertical="center"/>
    </xf>
    <xf numFmtId="194" fontId="0" fillId="0" borderId="387" xfId="0" applyNumberFormat="1" applyBorder="1" applyAlignment="1">
      <alignment horizontal="center" vertical="center"/>
    </xf>
    <xf numFmtId="194" fontId="0" fillId="0" borderId="388" xfId="0" applyNumberFormat="1" applyBorder="1" applyAlignment="1">
      <alignment horizontal="center" vertical="center"/>
    </xf>
    <xf numFmtId="194" fontId="0" fillId="0" borderId="389" xfId="0" applyNumberFormat="1" applyBorder="1" applyAlignment="1">
      <alignment horizontal="center" vertical="center"/>
    </xf>
    <xf numFmtId="194" fontId="0" fillId="0" borderId="396" xfId="0" applyNumberFormat="1" applyBorder="1" applyAlignment="1">
      <alignment horizontal="center" vertical="center"/>
    </xf>
    <xf numFmtId="194" fontId="0" fillId="0" borderId="393" xfId="0" applyNumberFormat="1" applyBorder="1" applyAlignment="1">
      <alignment horizontal="center" vertical="center"/>
    </xf>
    <xf numFmtId="0" fontId="31" fillId="20" borderId="246" xfId="0" applyFont="1" applyFill="1" applyBorder="1" applyAlignment="1">
      <alignment horizontal="center" vertical="center"/>
    </xf>
    <xf numFmtId="168" fontId="31" fillId="20" borderId="246" xfId="0" applyNumberFormat="1" applyFont="1" applyFill="1" applyBorder="1" applyAlignment="1">
      <alignment horizontal="center" vertical="center"/>
    </xf>
    <xf numFmtId="168" fontId="32" fillId="20" borderId="246" xfId="0" applyNumberFormat="1" applyFont="1" applyFill="1" applyBorder="1" applyAlignment="1">
      <alignment horizontal="center" vertical="center"/>
    </xf>
    <xf numFmtId="168" fontId="31" fillId="20" borderId="251" xfId="0" applyNumberFormat="1" applyFont="1" applyFill="1" applyBorder="1" applyAlignment="1">
      <alignment horizontal="center" vertical="center"/>
    </xf>
    <xf numFmtId="168" fontId="31" fillId="20" borderId="47" xfId="0" applyNumberFormat="1" applyFont="1" applyFill="1" applyBorder="1" applyAlignment="1">
      <alignment horizontal="center" vertical="center"/>
    </xf>
    <xf numFmtId="0" fontId="31" fillId="20" borderId="47" xfId="0" applyFont="1" applyFill="1" applyBorder="1" applyAlignment="1">
      <alignment horizontal="center" vertical="center"/>
    </xf>
    <xf numFmtId="0" fontId="31" fillId="20" borderId="247" xfId="0" applyFont="1" applyFill="1" applyBorder="1" applyAlignment="1">
      <alignment horizontal="center" vertical="center"/>
    </xf>
    <xf numFmtId="0" fontId="31" fillId="20" borderId="42" xfId="0" applyFont="1" applyFill="1" applyBorder="1" applyAlignment="1">
      <alignment horizontal="center" vertical="center"/>
    </xf>
    <xf numFmtId="168" fontId="31" fillId="20" borderId="42" xfId="0" applyNumberFormat="1" applyFont="1" applyFill="1" applyBorder="1" applyAlignment="1">
      <alignment horizontal="center" vertical="center"/>
    </xf>
    <xf numFmtId="0" fontId="31" fillId="20" borderId="397" xfId="0" applyFont="1" applyFill="1" applyBorder="1" applyAlignment="1">
      <alignment horizontal="center" vertical="center"/>
    </xf>
    <xf numFmtId="0" fontId="31" fillId="20" borderId="249" xfId="0" applyFont="1" applyFill="1" applyBorder="1" applyAlignment="1">
      <alignment horizontal="center" vertical="center"/>
    </xf>
    <xf numFmtId="168" fontId="31" fillId="20" borderId="398" xfId="0" applyNumberFormat="1" applyFont="1" applyFill="1" applyBorder="1" applyAlignment="1">
      <alignment horizontal="center" vertical="center"/>
    </xf>
    <xf numFmtId="0" fontId="0" fillId="0" borderId="347" xfId="0" quotePrefix="1" applyBorder="1" applyAlignment="1">
      <alignment horizontal="center" vertical="center"/>
    </xf>
    <xf numFmtId="168" fontId="0" fillId="0" borderId="347" xfId="0" applyNumberFormat="1" applyBorder="1" applyAlignment="1">
      <alignment horizontal="center" vertical="center"/>
    </xf>
    <xf numFmtId="168" fontId="31" fillId="25" borderId="246" xfId="0" applyNumberFormat="1" applyFont="1" applyFill="1" applyBorder="1" applyAlignment="1">
      <alignment horizontal="center" vertical="center"/>
    </xf>
    <xf numFmtId="168" fontId="31" fillId="25" borderId="42" xfId="0" applyNumberFormat="1" applyFont="1" applyFill="1" applyBorder="1" applyAlignment="1">
      <alignment horizontal="center" vertical="center"/>
    </xf>
    <xf numFmtId="0" fontId="0" fillId="20" borderId="120" xfId="0" applyFill="1" applyBorder="1" applyAlignment="1">
      <alignment horizontal="center" vertical="center"/>
    </xf>
    <xf numFmtId="0" fontId="31" fillId="20" borderId="120" xfId="0" applyFont="1" applyFill="1" applyBorder="1" applyAlignment="1">
      <alignment horizontal="center" vertical="center"/>
    </xf>
    <xf numFmtId="0" fontId="31" fillId="20" borderId="46" xfId="0" applyFont="1" applyFill="1" applyBorder="1" applyAlignment="1">
      <alignment horizontal="center" vertical="center"/>
    </xf>
    <xf numFmtId="168" fontId="31" fillId="20" borderId="48" xfId="0" applyNumberFormat="1" applyFont="1" applyFill="1" applyBorder="1" applyAlignment="1">
      <alignment horizontal="center" vertical="center"/>
    </xf>
    <xf numFmtId="191" fontId="0" fillId="21" borderId="386" xfId="0" applyNumberFormat="1" applyFill="1" applyBorder="1" applyAlignment="1">
      <alignment horizontal="center" vertical="center"/>
    </xf>
    <xf numFmtId="191" fontId="0" fillId="21" borderId="384" xfId="0" applyNumberFormat="1" applyFill="1" applyBorder="1" applyAlignment="1">
      <alignment horizontal="center" vertical="center"/>
    </xf>
    <xf numFmtId="176" fontId="34" fillId="22" borderId="371" xfId="0" applyNumberFormat="1" applyFont="1" applyFill="1" applyBorder="1" applyAlignment="1">
      <alignment horizontal="center" vertical="center"/>
    </xf>
    <xf numFmtId="176" fontId="34" fillId="22" borderId="349" xfId="0" applyNumberFormat="1" applyFont="1" applyFill="1" applyBorder="1" applyAlignment="1">
      <alignment horizontal="center" vertical="center"/>
    </xf>
    <xf numFmtId="176" fontId="0" fillId="21" borderId="385" xfId="0" applyNumberFormat="1" applyFill="1" applyBorder="1" applyAlignment="1">
      <alignment horizontal="center" vertical="center"/>
    </xf>
    <xf numFmtId="0" fontId="0" fillId="0" borderId="399" xfId="0" applyBorder="1" applyAlignment="1">
      <alignment horizontal="center" vertical="center"/>
    </xf>
    <xf numFmtId="0" fontId="0" fillId="0" borderId="400" xfId="0" applyBorder="1" applyAlignment="1">
      <alignment horizontal="center" vertical="center"/>
    </xf>
    <xf numFmtId="0" fontId="22" fillId="0" borderId="399" xfId="1" applyBorder="1" applyAlignment="1">
      <alignment horizontal="center" vertical="center"/>
    </xf>
    <xf numFmtId="199" fontId="0" fillId="0" borderId="401" xfId="0" applyNumberFormat="1" applyBorder="1" applyAlignment="1">
      <alignment horizontal="center" vertical="center"/>
    </xf>
    <xf numFmtId="176" fontId="31" fillId="0" borderId="246" xfId="0" applyNumberFormat="1" applyFont="1" applyBorder="1" applyAlignment="1">
      <alignment horizontal="center" vertical="center"/>
    </xf>
    <xf numFmtId="0" fontId="31" fillId="0" borderId="246" xfId="0" applyFont="1" applyBorder="1" applyAlignment="1">
      <alignment horizontal="center" vertical="center"/>
    </xf>
    <xf numFmtId="0" fontId="31" fillId="0" borderId="246" xfId="0" applyFont="1" applyBorder="1"/>
    <xf numFmtId="168" fontId="31" fillId="0" borderId="0" xfId="0" applyNumberFormat="1" applyFont="1" applyAlignment="1">
      <alignment horizontal="center" vertical="center"/>
    </xf>
    <xf numFmtId="0" fontId="31" fillId="0" borderId="0" xfId="0" applyFont="1" applyAlignment="1">
      <alignment horizontal="center" vertical="center"/>
    </xf>
    <xf numFmtId="0" fontId="31" fillId="0" borderId="0" xfId="0" applyFont="1"/>
    <xf numFmtId="168" fontId="31" fillId="0" borderId="0" xfId="0" applyNumberFormat="1" applyFont="1"/>
    <xf numFmtId="14" fontId="31" fillId="0" borderId="0" xfId="0" applyNumberFormat="1" applyFont="1"/>
    <xf numFmtId="191" fontId="31" fillId="0" borderId="0" xfId="0" applyNumberFormat="1" applyFont="1"/>
    <xf numFmtId="191" fontId="32" fillId="21" borderId="276" xfId="0" applyNumberFormat="1" applyFont="1" applyFill="1" applyBorder="1" applyAlignment="1">
      <alignment horizontal="center" vertical="center"/>
    </xf>
    <xf numFmtId="176" fontId="35" fillId="22" borderId="349" xfId="0" applyNumberFormat="1" applyFont="1" applyFill="1" applyBorder="1" applyAlignment="1">
      <alignment horizontal="center" vertical="center"/>
    </xf>
    <xf numFmtId="191" fontId="31" fillId="21" borderId="385" xfId="0" applyNumberFormat="1" applyFont="1" applyFill="1" applyBorder="1" applyAlignment="1">
      <alignment horizontal="center" vertical="center"/>
    </xf>
    <xf numFmtId="168" fontId="31" fillId="0" borderId="246" xfId="0" applyNumberFormat="1" applyFont="1" applyBorder="1" applyAlignment="1">
      <alignment horizontal="center" vertical="center"/>
    </xf>
    <xf numFmtId="194" fontId="0" fillId="26" borderId="391" xfId="0" applyNumberFormat="1" applyFill="1" applyBorder="1" applyAlignment="1">
      <alignment horizontal="center" vertical="center"/>
    </xf>
    <xf numFmtId="196" fontId="0" fillId="26" borderId="373" xfId="0" applyNumberFormat="1" applyFill="1" applyBorder="1" applyAlignment="1">
      <alignment horizontal="center" vertical="center"/>
    </xf>
    <xf numFmtId="191" fontId="37" fillId="27" borderId="370" xfId="0" applyNumberFormat="1" applyFont="1" applyFill="1" applyBorder="1" applyAlignment="1">
      <alignment horizontal="center" vertical="center"/>
    </xf>
    <xf numFmtId="191" fontId="36" fillId="27" borderId="367" xfId="0" applyNumberFormat="1" applyFont="1" applyFill="1" applyBorder="1" applyAlignment="1">
      <alignment horizontal="center" vertical="center"/>
    </xf>
    <xf numFmtId="191" fontId="37" fillId="27" borderId="276" xfId="0" applyNumberFormat="1" applyFont="1" applyFill="1" applyBorder="1" applyAlignment="1">
      <alignment horizontal="center" vertical="center"/>
    </xf>
    <xf numFmtId="194" fontId="0" fillId="21" borderId="388" xfId="0" applyNumberFormat="1" applyFill="1" applyBorder="1" applyAlignment="1">
      <alignment horizontal="center" vertical="center"/>
    </xf>
    <xf numFmtId="194" fontId="0" fillId="21" borderId="387" xfId="0" applyNumberFormat="1" applyFill="1" applyBorder="1" applyAlignment="1">
      <alignment horizontal="center" vertical="center"/>
    </xf>
    <xf numFmtId="172" fontId="0" fillId="0" borderId="402" xfId="0" applyNumberFormat="1" applyBorder="1" applyAlignment="1">
      <alignment horizontal="center" vertical="center"/>
    </xf>
    <xf numFmtId="176" fontId="0" fillId="0" borderId="402" xfId="0" applyNumberFormat="1" applyBorder="1" applyAlignment="1">
      <alignment horizontal="center" vertical="center"/>
    </xf>
    <xf numFmtId="0" fontId="5" fillId="0" borderId="246" xfId="0" applyFont="1" applyBorder="1"/>
    <xf numFmtId="176" fontId="38" fillId="28" borderId="388" xfId="0" applyNumberFormat="1" applyFont="1" applyFill="1" applyBorder="1" applyAlignment="1">
      <alignment horizontal="center" vertical="center"/>
    </xf>
    <xf numFmtId="194" fontId="38" fillId="28" borderId="373" xfId="0" applyNumberFormat="1" applyFont="1" applyFill="1" applyBorder="1" applyAlignment="1">
      <alignment horizontal="center" vertical="center"/>
    </xf>
    <xf numFmtId="172" fontId="38" fillId="28" borderId="388" xfId="0" applyNumberFormat="1" applyFont="1" applyFill="1" applyBorder="1" applyAlignment="1">
      <alignment horizontal="center" vertical="center"/>
    </xf>
    <xf numFmtId="196" fontId="38" fillId="28" borderId="388" xfId="0" applyNumberFormat="1" applyFont="1" applyFill="1" applyBorder="1" applyAlignment="1">
      <alignment horizontal="center" vertical="center" readingOrder="1"/>
    </xf>
    <xf numFmtId="191" fontId="38" fillId="28" borderId="388" xfId="0" applyNumberFormat="1" applyFont="1" applyFill="1" applyBorder="1" applyAlignment="1">
      <alignment horizontal="center" vertical="center"/>
    </xf>
    <xf numFmtId="196" fontId="0" fillId="22" borderId="285" xfId="0" applyNumberFormat="1" applyFill="1" applyBorder="1" applyAlignment="1">
      <alignment horizontal="center" vertical="center"/>
    </xf>
    <xf numFmtId="196" fontId="0" fillId="22" borderId="368" xfId="0" applyNumberFormat="1" applyFill="1" applyBorder="1" applyAlignment="1">
      <alignment horizontal="center" vertical="center"/>
    </xf>
    <xf numFmtId="195" fontId="0" fillId="0" borderId="403" xfId="0" applyNumberFormat="1" applyBorder="1" applyAlignment="1">
      <alignment horizontal="center" vertical="center"/>
    </xf>
    <xf numFmtId="196" fontId="0" fillId="0" borderId="403" xfId="0" applyNumberFormat="1" applyBorder="1" applyAlignment="1">
      <alignment horizontal="center" vertical="center"/>
    </xf>
    <xf numFmtId="196" fontId="0" fillId="0" borderId="402" xfId="0" applyNumberFormat="1" applyBorder="1" applyAlignment="1">
      <alignment horizontal="center" vertical="center"/>
    </xf>
    <xf numFmtId="196" fontId="0" fillId="0" borderId="404" xfId="0" applyNumberFormat="1" applyBorder="1" applyAlignment="1">
      <alignment horizontal="center" vertical="center"/>
    </xf>
    <xf numFmtId="196" fontId="0" fillId="0" borderId="405" xfId="0" applyNumberFormat="1" applyBorder="1" applyAlignment="1">
      <alignment horizontal="center" vertical="center"/>
    </xf>
    <xf numFmtId="196" fontId="0" fillId="0" borderId="406" xfId="0" applyNumberFormat="1" applyBorder="1" applyAlignment="1">
      <alignment horizontal="center" vertical="center"/>
    </xf>
    <xf numFmtId="189" fontId="0" fillId="0" borderId="311" xfId="0" applyNumberFormat="1" applyBorder="1" applyAlignment="1">
      <alignment horizontal="center" vertical="center"/>
    </xf>
    <xf numFmtId="191" fontId="0" fillId="0" borderId="407" xfId="0" applyNumberFormat="1" applyBorder="1" applyAlignment="1">
      <alignment horizontal="center" vertical="center"/>
    </xf>
    <xf numFmtId="194" fontId="0" fillId="0" borderId="408" xfId="0" applyNumberFormat="1" applyBorder="1" applyAlignment="1">
      <alignment horizontal="center" vertical="center"/>
    </xf>
    <xf numFmtId="196" fontId="0" fillId="0" borderId="409" xfId="0" applyNumberFormat="1" applyBorder="1" applyAlignment="1">
      <alignment horizontal="center" vertical="center"/>
    </xf>
    <xf numFmtId="191" fontId="0" fillId="0" borderId="402" xfId="0" applyNumberFormat="1" applyBorder="1" applyAlignment="1">
      <alignment horizontal="center" vertical="center"/>
    </xf>
    <xf numFmtId="194" fontId="0" fillId="0" borderId="403" xfId="0" applyNumberFormat="1" applyBorder="1" applyAlignment="1">
      <alignment horizontal="center" vertical="center"/>
    </xf>
    <xf numFmtId="195" fontId="0" fillId="0" borderId="402" xfId="0" applyNumberFormat="1" applyBorder="1" applyAlignment="1">
      <alignment horizontal="center" vertical="center"/>
    </xf>
    <xf numFmtId="194" fontId="0" fillId="0" borderId="410" xfId="0" applyNumberFormat="1" applyBorder="1" applyAlignment="1">
      <alignment horizontal="center" vertical="center"/>
    </xf>
    <xf numFmtId="191" fontId="37" fillId="27" borderId="280" xfId="0" applyNumberFormat="1" applyFont="1" applyFill="1" applyBorder="1" applyAlignment="1">
      <alignment horizontal="center" vertical="center"/>
    </xf>
    <xf numFmtId="191" fontId="36" fillId="27" borderId="283" xfId="0" applyNumberFormat="1" applyFont="1" applyFill="1" applyBorder="1" applyAlignment="1">
      <alignment horizontal="center" vertical="center"/>
    </xf>
    <xf numFmtId="176" fontId="34" fillId="22" borderId="411" xfId="0" applyNumberFormat="1" applyFont="1" applyFill="1" applyBorder="1" applyAlignment="1">
      <alignment horizontal="center" vertical="center"/>
    </xf>
    <xf numFmtId="191" fontId="0" fillId="21" borderId="412" xfId="0" applyNumberFormat="1" applyFill="1" applyBorder="1" applyAlignment="1">
      <alignment horizontal="center" vertical="center"/>
    </xf>
    <xf numFmtId="0" fontId="36" fillId="27" borderId="367" xfId="0" applyFont="1" applyFill="1" applyBorder="1" applyAlignment="1">
      <alignment horizontal="center" vertical="center"/>
    </xf>
    <xf numFmtId="2" fontId="0" fillId="0" borderId="302" xfId="0" applyNumberFormat="1" applyBorder="1" applyAlignment="1">
      <alignment horizontal="center" vertical="center"/>
    </xf>
    <xf numFmtId="14" fontId="0" fillId="0" borderId="302" xfId="0" applyNumberFormat="1" applyBorder="1" applyAlignment="1">
      <alignment horizontal="center" vertical="center"/>
    </xf>
    <xf numFmtId="165" fontId="0" fillId="0" borderId="301" xfId="0" applyNumberFormat="1" applyBorder="1" applyAlignment="1">
      <alignment horizontal="center" vertical="center"/>
    </xf>
    <xf numFmtId="165" fontId="0" fillId="0" borderId="302" xfId="0" applyNumberFormat="1" applyBorder="1" applyAlignment="1">
      <alignment horizontal="center" vertical="center"/>
    </xf>
    <xf numFmtId="168" fontId="0" fillId="0" borderId="302" xfId="0" applyNumberFormat="1" applyBorder="1" applyAlignment="1">
      <alignment horizontal="center" vertical="center"/>
    </xf>
    <xf numFmtId="176" fontId="0" fillId="0" borderId="302" xfId="0" quotePrefix="1" applyNumberFormat="1" applyBorder="1" applyAlignment="1">
      <alignment horizontal="center" vertical="center"/>
    </xf>
    <xf numFmtId="0" fontId="0" fillId="23" borderId="302" xfId="0" quotePrefix="1" applyFill="1" applyBorder="1" applyAlignment="1">
      <alignment horizontal="center" vertical="center"/>
    </xf>
    <xf numFmtId="168" fontId="0" fillId="23" borderId="302" xfId="0" applyNumberFormat="1" applyFill="1" applyBorder="1" applyAlignment="1">
      <alignment horizontal="center" vertical="center"/>
    </xf>
    <xf numFmtId="1" fontId="0" fillId="0" borderId="310" xfId="0" applyNumberFormat="1" applyBorder="1" applyAlignment="1">
      <alignment horizontal="center" vertical="center"/>
    </xf>
    <xf numFmtId="168" fontId="0" fillId="0" borderId="399" xfId="0" applyNumberFormat="1" applyBorder="1" applyAlignment="1">
      <alignment horizontal="center" vertical="center"/>
    </xf>
    <xf numFmtId="176" fontId="0" fillId="0" borderId="399" xfId="0" applyNumberFormat="1" applyBorder="1" applyAlignment="1">
      <alignment horizontal="center" vertical="center"/>
    </xf>
    <xf numFmtId="0" fontId="0" fillId="0" borderId="399" xfId="0" quotePrefix="1" applyBorder="1" applyAlignment="1">
      <alignment horizontal="center" vertical="center"/>
    </xf>
    <xf numFmtId="0" fontId="0" fillId="0" borderId="413" xfId="0" applyBorder="1" applyAlignment="1">
      <alignment horizontal="center" vertical="center"/>
    </xf>
    <xf numFmtId="0" fontId="0" fillId="0" borderId="293" xfId="0" quotePrefix="1" applyBorder="1" applyAlignment="1">
      <alignment horizontal="center" vertical="center"/>
    </xf>
    <xf numFmtId="14" fontId="0" fillId="0" borderId="294" xfId="0" quotePrefix="1" applyNumberFormat="1" applyBorder="1" applyAlignment="1">
      <alignment horizontal="center" vertical="center"/>
    </xf>
    <xf numFmtId="168" fontId="0" fillId="0" borderId="292" xfId="0" quotePrefix="1" applyNumberFormat="1" applyBorder="1" applyAlignment="1">
      <alignment horizontal="center" vertical="center"/>
    </xf>
    <xf numFmtId="168" fontId="0" fillId="0" borderId="302" xfId="0" quotePrefix="1" applyNumberFormat="1" applyBorder="1" applyAlignment="1">
      <alignment horizontal="center" vertical="center"/>
    </xf>
    <xf numFmtId="0" fontId="5" fillId="0" borderId="246" xfId="0" applyFont="1" applyBorder="1" applyAlignment="1">
      <alignment horizontal="center" vertical="center"/>
    </xf>
    <xf numFmtId="191" fontId="0" fillId="29" borderId="388" xfId="0" applyNumberFormat="1" applyFill="1" applyBorder="1" applyAlignment="1">
      <alignment horizontal="center" vertical="center"/>
    </xf>
    <xf numFmtId="194" fontId="0" fillId="29" borderId="373" xfId="0" applyNumberFormat="1" applyFill="1" applyBorder="1" applyAlignment="1">
      <alignment horizontal="center" vertical="center"/>
    </xf>
    <xf numFmtId="176" fontId="0" fillId="29" borderId="388" xfId="0" applyNumberFormat="1" applyFill="1" applyBorder="1" applyAlignment="1">
      <alignment horizontal="center" vertical="center"/>
    </xf>
    <xf numFmtId="176" fontId="0" fillId="29" borderId="402" xfId="0" applyNumberFormat="1" applyFill="1" applyBorder="1" applyAlignment="1">
      <alignment horizontal="center" vertical="center"/>
    </xf>
    <xf numFmtId="194" fontId="0" fillId="29" borderId="403" xfId="0" applyNumberFormat="1" applyFill="1" applyBorder="1" applyAlignment="1">
      <alignment horizontal="center" vertical="center"/>
    </xf>
    <xf numFmtId="191" fontId="0" fillId="29" borderId="387" xfId="0" applyNumberFormat="1" applyFill="1" applyBorder="1" applyAlignment="1">
      <alignment horizontal="center" vertical="center"/>
    </xf>
    <xf numFmtId="194" fontId="0" fillId="29" borderId="372" xfId="0" applyNumberFormat="1" applyFill="1" applyBorder="1" applyAlignment="1">
      <alignment horizontal="center" vertical="center"/>
    </xf>
    <xf numFmtId="176" fontId="5" fillId="0" borderId="246" xfId="0" applyNumberFormat="1" applyFont="1" applyBorder="1"/>
    <xf numFmtId="196" fontId="36" fillId="27" borderId="367" xfId="0" applyNumberFormat="1" applyFont="1" applyFill="1" applyBorder="1" applyAlignment="1">
      <alignment horizontal="center" vertical="center"/>
    </xf>
    <xf numFmtId="194" fontId="0" fillId="0" borderId="415" xfId="0" applyNumberFormat="1" applyBorder="1" applyAlignment="1">
      <alignment horizontal="center" vertical="center"/>
    </xf>
    <xf numFmtId="176" fontId="0" fillId="0" borderId="414" xfId="0" applyNumberFormat="1" applyBorder="1" applyAlignment="1">
      <alignment horizontal="center" vertical="center"/>
    </xf>
    <xf numFmtId="191" fontId="0" fillId="0" borderId="374" xfId="0" applyNumberFormat="1" applyBorder="1" applyAlignment="1">
      <alignment horizontal="center" vertical="center"/>
    </xf>
    <xf numFmtId="43" fontId="0" fillId="0" borderId="246" xfId="0" applyNumberFormat="1" applyBorder="1"/>
    <xf numFmtId="191" fontId="34" fillId="21" borderId="385" xfId="0" applyNumberFormat="1" applyFont="1" applyFill="1" applyBorder="1" applyAlignment="1">
      <alignment horizontal="center" vertical="center"/>
    </xf>
    <xf numFmtId="0" fontId="0" fillId="21" borderId="246" xfId="0" applyFill="1" applyBorder="1" applyAlignment="1">
      <alignment horizontal="center" vertical="center"/>
    </xf>
    <xf numFmtId="176" fontId="0" fillId="21" borderId="246" xfId="0" applyNumberFormat="1" applyFill="1" applyBorder="1" applyAlignment="1">
      <alignment horizontal="center" vertical="center"/>
    </xf>
    <xf numFmtId="0" fontId="0" fillId="21" borderId="417" xfId="0" applyFill="1" applyBorder="1" applyAlignment="1">
      <alignment horizontal="center" vertical="center"/>
    </xf>
    <xf numFmtId="191" fontId="0" fillId="21" borderId="246" xfId="0" applyNumberFormat="1" applyFill="1" applyBorder="1" applyAlignment="1">
      <alignment horizontal="center" vertical="center"/>
    </xf>
    <xf numFmtId="191" fontId="0" fillId="21" borderId="416" xfId="0" applyNumberFormat="1" applyFill="1" applyBorder="1" applyAlignment="1">
      <alignment horizontal="center" vertical="center"/>
    </xf>
    <xf numFmtId="0" fontId="0" fillId="21" borderId="418" xfId="0" applyFill="1" applyBorder="1" applyAlignment="1">
      <alignment horizontal="center" vertical="center"/>
    </xf>
    <xf numFmtId="176" fontId="0" fillId="22" borderId="371" xfId="0" applyNumberFormat="1" applyFill="1" applyBorder="1" applyAlignment="1">
      <alignment horizontal="center" vertical="center"/>
    </xf>
    <xf numFmtId="176" fontId="34" fillId="21" borderId="384" xfId="0" applyNumberFormat="1" applyFont="1" applyFill="1" applyBorder="1" applyAlignment="1">
      <alignment horizontal="center" vertical="center"/>
    </xf>
    <xf numFmtId="196" fontId="31" fillId="26" borderId="311" xfId="0" applyNumberFormat="1" applyFont="1" applyFill="1" applyBorder="1" applyAlignment="1">
      <alignment horizontal="center" vertical="center"/>
    </xf>
    <xf numFmtId="194" fontId="31" fillId="26" borderId="391" xfId="0" applyNumberFormat="1" applyFont="1" applyFill="1" applyBorder="1" applyAlignment="1">
      <alignment horizontal="center" vertical="center"/>
    </xf>
    <xf numFmtId="196" fontId="31" fillId="26" borderId="403" xfId="0" applyNumberFormat="1" applyFont="1" applyFill="1" applyBorder="1" applyAlignment="1">
      <alignment horizontal="center" vertical="center"/>
    </xf>
    <xf numFmtId="191" fontId="34" fillId="21" borderId="412" xfId="0" applyNumberFormat="1" applyFont="1" applyFill="1" applyBorder="1" applyAlignment="1">
      <alignment horizontal="center"/>
    </xf>
    <xf numFmtId="49" fontId="38" fillId="28" borderId="388" xfId="0" applyNumberFormat="1" applyFont="1" applyFill="1" applyBorder="1" applyAlignment="1">
      <alignment horizontal="center" vertical="center"/>
    </xf>
    <xf numFmtId="49" fontId="38" fillId="28" borderId="388" xfId="0" applyNumberFormat="1" applyFont="1" applyFill="1" applyBorder="1" applyAlignment="1">
      <alignment horizontal="center" vertical="center" readingOrder="1"/>
    </xf>
    <xf numFmtId="0" fontId="38" fillId="28" borderId="388" xfId="0" applyFont="1" applyFill="1" applyBorder="1" applyAlignment="1">
      <alignment horizontal="center" vertical="center"/>
    </xf>
    <xf numFmtId="0" fontId="36" fillId="27" borderId="283" xfId="0" applyFont="1" applyFill="1" applyBorder="1" applyAlignment="1">
      <alignment horizontal="center" vertical="center"/>
    </xf>
    <xf numFmtId="14" fontId="0" fillId="0" borderId="419" xfId="0" applyNumberFormat="1" applyBorder="1" applyAlignment="1">
      <alignment horizontal="center" vertical="center"/>
    </xf>
    <xf numFmtId="199" fontId="0" fillId="0" borderId="419" xfId="0" applyNumberFormat="1" applyBorder="1" applyAlignment="1">
      <alignment horizontal="center" vertical="center"/>
    </xf>
    <xf numFmtId="2" fontId="0" fillId="0" borderId="419" xfId="0" applyNumberFormat="1" applyBorder="1" applyAlignment="1">
      <alignment horizontal="center" vertical="center"/>
    </xf>
    <xf numFmtId="0" fontId="0" fillId="0" borderId="419" xfId="0" applyBorder="1" applyAlignment="1">
      <alignment horizontal="center" vertical="center"/>
    </xf>
    <xf numFmtId="1" fontId="0" fillId="0" borderId="419" xfId="0" applyNumberFormat="1" applyBorder="1" applyAlignment="1">
      <alignment horizontal="center" vertical="center"/>
    </xf>
    <xf numFmtId="0" fontId="0" fillId="0" borderId="247" xfId="0" applyBorder="1" applyAlignment="1">
      <alignment horizontal="center" vertical="center"/>
    </xf>
    <xf numFmtId="165" fontId="0" fillId="0" borderId="419" xfId="0" applyNumberFormat="1" applyBorder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168" fontId="0" fillId="0" borderId="0" xfId="0" applyNumberFormat="1" applyAlignment="1">
      <alignment horizontal="right"/>
    </xf>
    <xf numFmtId="168" fontId="0" fillId="0" borderId="388" xfId="0" applyNumberFormat="1" applyBorder="1" applyAlignment="1">
      <alignment horizontal="center" vertical="center"/>
    </xf>
    <xf numFmtId="168" fontId="0" fillId="0" borderId="387" xfId="0" applyNumberFormat="1" applyBorder="1" applyAlignment="1">
      <alignment horizontal="center" vertical="center"/>
    </xf>
    <xf numFmtId="191" fontId="0" fillId="0" borderId="409" xfId="0" applyNumberFormat="1" applyBorder="1" applyAlignment="1">
      <alignment horizontal="center" vertical="center"/>
    </xf>
    <xf numFmtId="188" fontId="0" fillId="0" borderId="323" xfId="0" applyNumberFormat="1" applyBorder="1" applyAlignment="1">
      <alignment horizontal="center" vertical="center"/>
    </xf>
    <xf numFmtId="188" fontId="0" fillId="0" borderId="315" xfId="0" applyNumberFormat="1" applyBorder="1" applyAlignment="1">
      <alignment horizontal="center" vertical="center"/>
    </xf>
    <xf numFmtId="197" fontId="37" fillId="27" borderId="370" xfId="0" applyNumberFormat="1" applyFont="1" applyFill="1" applyBorder="1" applyAlignment="1">
      <alignment horizontal="center" vertical="center"/>
    </xf>
    <xf numFmtId="0" fontId="38" fillId="28" borderId="388" xfId="0" applyFont="1" applyFill="1" applyBorder="1" applyAlignment="1">
      <alignment horizontal="center" vertical="center" readingOrder="1"/>
    </xf>
    <xf numFmtId="189" fontId="0" fillId="0" borderId="388" xfId="0" applyNumberFormat="1" applyBorder="1" applyAlignment="1">
      <alignment horizontal="center" vertical="center"/>
    </xf>
    <xf numFmtId="194" fontId="0" fillId="24" borderId="410" xfId="0" applyNumberFormat="1" applyFill="1" applyBorder="1" applyAlignment="1">
      <alignment horizontal="center" vertical="center"/>
    </xf>
    <xf numFmtId="191" fontId="0" fillId="24" borderId="373" xfId="0" applyNumberFormat="1" applyFill="1" applyBorder="1" applyAlignment="1">
      <alignment horizontal="center" vertical="center"/>
    </xf>
    <xf numFmtId="172" fontId="0" fillId="28" borderId="388" xfId="0" applyNumberFormat="1" applyFill="1" applyBorder="1" applyAlignment="1">
      <alignment horizontal="center" vertical="center"/>
    </xf>
    <xf numFmtId="194" fontId="0" fillId="28" borderId="373" xfId="0" applyNumberFormat="1" applyFill="1" applyBorder="1" applyAlignment="1">
      <alignment horizontal="center" vertical="center"/>
    </xf>
    <xf numFmtId="191" fontId="39" fillId="28" borderId="388" xfId="0" applyNumberFormat="1" applyFont="1" applyFill="1" applyBorder="1" applyAlignment="1">
      <alignment horizontal="center" vertical="center"/>
    </xf>
    <xf numFmtId="194" fontId="39" fillId="28" borderId="403" xfId="0" applyNumberFormat="1" applyFont="1" applyFill="1" applyBorder="1" applyAlignment="1">
      <alignment horizontal="center" vertical="center"/>
    </xf>
    <xf numFmtId="172" fontId="39" fillId="28" borderId="402" xfId="0" applyNumberFormat="1" applyFont="1" applyFill="1" applyBorder="1" applyAlignment="1">
      <alignment horizontal="center" vertical="center"/>
    </xf>
    <xf numFmtId="191" fontId="0" fillId="0" borderId="403" xfId="0" applyNumberFormat="1" applyBorder="1" applyAlignment="1">
      <alignment horizontal="center" vertical="center"/>
    </xf>
    <xf numFmtId="172" fontId="0" fillId="0" borderId="302" xfId="0" quotePrefix="1" applyNumberFormat="1" applyBorder="1" applyAlignment="1">
      <alignment horizontal="center" vertical="center"/>
    </xf>
    <xf numFmtId="172" fontId="0" fillId="21" borderId="384" xfId="0" applyNumberFormat="1" applyFill="1" applyBorder="1" applyAlignment="1">
      <alignment horizontal="center" vertical="center"/>
    </xf>
    <xf numFmtId="176" fontId="0" fillId="0" borderId="302" xfId="0" applyNumberFormat="1" applyBorder="1" applyAlignment="1">
      <alignment horizontal="center" vertical="center"/>
    </xf>
    <xf numFmtId="189" fontId="0" fillId="0" borderId="315" xfId="0" applyNumberFormat="1" applyBorder="1" applyAlignment="1">
      <alignment horizontal="center" vertical="center"/>
    </xf>
    <xf numFmtId="168" fontId="0" fillId="0" borderId="402" xfId="0" applyNumberFormat="1" applyBorder="1" applyAlignment="1">
      <alignment horizontal="center" vertical="center"/>
    </xf>
    <xf numFmtId="189" fontId="0" fillId="0" borderId="402" xfId="0" applyNumberFormat="1" applyBorder="1" applyAlignment="1">
      <alignment horizontal="center" vertical="center"/>
    </xf>
    <xf numFmtId="168" fontId="0" fillId="21" borderId="384" xfId="0" applyNumberFormat="1" applyFill="1" applyBorder="1" applyAlignment="1">
      <alignment horizontal="center" vertical="center"/>
    </xf>
    <xf numFmtId="189" fontId="0" fillId="0" borderId="389" xfId="0" applyNumberFormat="1" applyBorder="1" applyAlignment="1">
      <alignment horizontal="center" vertical="center"/>
    </xf>
    <xf numFmtId="191" fontId="0" fillId="22" borderId="368" xfId="0" applyNumberFormat="1" applyFill="1" applyBorder="1" applyAlignment="1">
      <alignment horizontal="center" vertical="center"/>
    </xf>
    <xf numFmtId="195" fontId="0" fillId="0" borderId="415" xfId="0" applyNumberFormat="1" applyBorder="1" applyAlignment="1">
      <alignment horizontal="center" vertical="center"/>
    </xf>
    <xf numFmtId="195" fontId="0" fillId="22" borderId="371" xfId="0" applyNumberFormat="1" applyFill="1" applyBorder="1" applyAlignment="1">
      <alignment horizontal="center" vertical="center"/>
    </xf>
    <xf numFmtId="195" fontId="0" fillId="21" borderId="384" xfId="0" applyNumberFormat="1" applyFill="1" applyBorder="1" applyAlignment="1">
      <alignment horizontal="center" vertical="center"/>
    </xf>
    <xf numFmtId="0" fontId="31" fillId="0" borderId="423" xfId="0" applyFont="1" applyBorder="1" applyAlignment="1">
      <alignment horizontal="center" vertical="center"/>
    </xf>
    <xf numFmtId="0" fontId="0" fillId="0" borderId="424" xfId="0" applyBorder="1"/>
    <xf numFmtId="172" fontId="31" fillId="0" borderId="246" xfId="0" applyNumberFormat="1" applyFont="1" applyBorder="1" applyAlignment="1">
      <alignment horizontal="center" vertical="center"/>
    </xf>
    <xf numFmtId="0" fontId="0" fillId="0" borderId="246" xfId="0" applyBorder="1" applyAlignment="1">
      <alignment horizontal="center"/>
    </xf>
    <xf numFmtId="172" fontId="0" fillId="0" borderId="246" xfId="0" applyNumberFormat="1" applyBorder="1" applyAlignment="1">
      <alignment horizontal="center"/>
    </xf>
    <xf numFmtId="14" fontId="31" fillId="0" borderId="246" xfId="0" applyNumberFormat="1" applyFont="1" applyBorder="1"/>
    <xf numFmtId="172" fontId="0" fillId="0" borderId="246" xfId="0" applyNumberFormat="1" applyBorder="1" applyAlignment="1">
      <alignment horizontal="center" vertical="center"/>
    </xf>
    <xf numFmtId="14" fontId="0" fillId="0" borderId="246" xfId="0" applyNumberFormat="1" applyBorder="1"/>
    <xf numFmtId="0" fontId="0" fillId="0" borderId="423" xfId="0" applyBorder="1"/>
    <xf numFmtId="0" fontId="0" fillId="0" borderId="425" xfId="0" applyBorder="1"/>
    <xf numFmtId="0" fontId="0" fillId="0" borderId="426" xfId="0" applyBorder="1"/>
    <xf numFmtId="176" fontId="0" fillId="0" borderId="426" xfId="0" applyNumberFormat="1" applyBorder="1" applyAlignment="1">
      <alignment horizontal="center" vertical="center"/>
    </xf>
    <xf numFmtId="0" fontId="0" fillId="0" borderId="427" xfId="0" applyBorder="1"/>
    <xf numFmtId="191" fontId="31" fillId="0" borderId="246" xfId="0" applyNumberFormat="1" applyFont="1" applyBorder="1"/>
    <xf numFmtId="0" fontId="0" fillId="20" borderId="0" xfId="0" applyFill="1" applyAlignment="1">
      <alignment horizontal="center" vertical="center"/>
    </xf>
    <xf numFmtId="0" fontId="31" fillId="20" borderId="0" xfId="0" applyFont="1" applyFill="1" applyAlignment="1">
      <alignment horizontal="center" vertical="center"/>
    </xf>
    <xf numFmtId="168" fontId="31" fillId="20" borderId="0" xfId="0" applyNumberFormat="1" applyFont="1" applyFill="1" applyAlignment="1">
      <alignment horizontal="center" vertical="center"/>
    </xf>
    <xf numFmtId="168" fontId="32" fillId="20" borderId="0" xfId="0" applyNumberFormat="1" applyFont="1" applyFill="1" applyAlignment="1">
      <alignment horizontal="center" vertical="center"/>
    </xf>
    <xf numFmtId="168" fontId="31" fillId="25" borderId="0" xfId="0" applyNumberFormat="1" applyFont="1" applyFill="1" applyAlignment="1">
      <alignment horizontal="center" vertical="center"/>
    </xf>
    <xf numFmtId="194" fontId="0" fillId="0" borderId="426" xfId="0" applyNumberFormat="1" applyBorder="1" applyAlignment="1">
      <alignment horizontal="right" vertical="center"/>
    </xf>
    <xf numFmtId="0" fontId="0" fillId="0" borderId="423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172" fontId="31" fillId="0" borderId="423" xfId="0" applyNumberFormat="1" applyFont="1" applyBorder="1" applyAlignment="1">
      <alignment horizontal="center" vertical="center"/>
    </xf>
    <xf numFmtId="191" fontId="0" fillId="30" borderId="0" xfId="0" applyNumberFormat="1" applyFill="1" applyAlignment="1">
      <alignment horizontal="center" vertical="center"/>
    </xf>
    <xf numFmtId="0" fontId="0" fillId="30" borderId="0" xfId="0" applyFill="1" applyAlignment="1">
      <alignment horizontal="center" vertical="center"/>
    </xf>
    <xf numFmtId="2" fontId="0" fillId="0" borderId="0" xfId="0" applyNumberFormat="1" applyAlignment="1">
      <alignment horizontal="center" vertical="center" wrapText="1"/>
    </xf>
    <xf numFmtId="168" fontId="35" fillId="0" borderId="426" xfId="0" applyNumberFormat="1" applyFont="1" applyBorder="1" applyAlignment="1">
      <alignment horizontal="center" vertical="center"/>
    </xf>
    <xf numFmtId="194" fontId="18" fillId="31" borderId="428" xfId="0" applyNumberFormat="1" applyFont="1" applyFill="1" applyBorder="1" applyAlignment="1">
      <alignment horizontal="center" vertical="center" wrapText="1"/>
    </xf>
    <xf numFmtId="194" fontId="18" fillId="32" borderId="428" xfId="0" applyNumberFormat="1" applyFont="1" applyFill="1" applyBorder="1" applyAlignment="1">
      <alignment horizontal="center" vertical="center" wrapText="1"/>
    </xf>
    <xf numFmtId="0" fontId="40" fillId="28" borderId="0" xfId="0" applyFont="1" applyFill="1" applyAlignment="1">
      <alignment horizontal="center" vertical="center"/>
    </xf>
    <xf numFmtId="168" fontId="0" fillId="0" borderId="274" xfId="0" applyNumberFormat="1" applyBorder="1" applyAlignment="1">
      <alignment horizontal="center" vertical="center"/>
    </xf>
    <xf numFmtId="0" fontId="41" fillId="0" borderId="0" xfId="0" applyFont="1" applyAlignment="1">
      <alignment horizontal="center" vertical="center"/>
    </xf>
    <xf numFmtId="0" fontId="41" fillId="0" borderId="0" xfId="0" applyFont="1" applyAlignment="1">
      <alignment vertical="center"/>
    </xf>
    <xf numFmtId="0" fontId="42" fillId="33" borderId="279" xfId="0" applyFont="1" applyFill="1" applyBorder="1" applyAlignment="1">
      <alignment horizontal="center" vertical="center"/>
    </xf>
    <xf numFmtId="165" fontId="42" fillId="33" borderId="429" xfId="0" applyNumberFormat="1" applyFont="1" applyFill="1" applyBorder="1" applyAlignment="1">
      <alignment horizontal="center" vertical="center"/>
    </xf>
    <xf numFmtId="14" fontId="0" fillId="0" borderId="0" xfId="0" applyNumberFormat="1" applyAlignment="1">
      <alignment horizontal="center" vertical="center"/>
    </xf>
    <xf numFmtId="189" fontId="0" fillId="0" borderId="387" xfId="0" applyNumberFormat="1" applyBorder="1" applyAlignment="1">
      <alignment horizontal="center" vertical="center"/>
    </xf>
    <xf numFmtId="191" fontId="0" fillId="0" borderId="270" xfId="0" applyNumberFormat="1" applyBorder="1" applyAlignment="1">
      <alignment horizontal="center" vertical="center"/>
    </xf>
    <xf numFmtId="191" fontId="0" fillId="24" borderId="270" xfId="0" applyNumberFormat="1" applyFill="1" applyBorder="1" applyAlignment="1">
      <alignment horizontal="center" vertical="center"/>
    </xf>
    <xf numFmtId="172" fontId="0" fillId="0" borderId="246" xfId="0" applyNumberFormat="1" applyBorder="1"/>
    <xf numFmtId="172" fontId="0" fillId="0" borderId="0" xfId="0" applyNumberFormat="1"/>
    <xf numFmtId="172" fontId="5" fillId="0" borderId="0" xfId="0" applyNumberFormat="1" applyFont="1"/>
    <xf numFmtId="188" fontId="0" fillId="0" borderId="0" xfId="0" applyNumberFormat="1"/>
    <xf numFmtId="185" fontId="0" fillId="0" borderId="0" xfId="0" applyNumberFormat="1"/>
    <xf numFmtId="188" fontId="0" fillId="34" borderId="0" xfId="0" applyNumberFormat="1" applyFill="1"/>
    <xf numFmtId="188" fontId="0" fillId="35" borderId="0" xfId="0" applyNumberFormat="1" applyFill="1"/>
    <xf numFmtId="16" fontId="0" fillId="0" borderId="0" xfId="0" applyNumberFormat="1"/>
    <xf numFmtId="193" fontId="0" fillId="0" borderId="0" xfId="0" applyNumberFormat="1"/>
    <xf numFmtId="191" fontId="0" fillId="0" borderId="0" xfId="0" applyNumberFormat="1" applyAlignment="1">
      <alignment horizontal="center" vertical="center"/>
    </xf>
    <xf numFmtId="189" fontId="34" fillId="0" borderId="246" xfId="0" applyNumberFormat="1" applyFont="1" applyBorder="1"/>
    <xf numFmtId="0" fontId="0" fillId="0" borderId="0" xfId="0" quotePrefix="1"/>
    <xf numFmtId="0" fontId="0" fillId="0" borderId="0" xfId="0" applyAlignment="1">
      <alignment readingOrder="2"/>
    </xf>
    <xf numFmtId="172" fontId="0" fillId="0" borderId="410" xfId="0" applyNumberFormat="1" applyBorder="1" applyAlignment="1">
      <alignment horizontal="center" vertical="center"/>
    </xf>
    <xf numFmtId="168" fontId="35" fillId="0" borderId="246" xfId="0" applyNumberFormat="1" applyFont="1" applyBorder="1" applyAlignment="1">
      <alignment horizontal="center" vertical="center"/>
    </xf>
    <xf numFmtId="189" fontId="0" fillId="0" borderId="372" xfId="0" applyNumberFormat="1" applyBorder="1" applyAlignment="1">
      <alignment horizontal="center" vertical="center"/>
    </xf>
    <xf numFmtId="0" fontId="4" fillId="2" borderId="40" xfId="0" applyFont="1" applyFill="1" applyBorder="1" applyAlignment="1">
      <alignment horizontal="center" vertical="center"/>
    </xf>
    <xf numFmtId="0" fontId="5" fillId="0" borderId="38" xfId="0" applyFont="1" applyBorder="1"/>
    <xf numFmtId="172" fontId="0" fillId="10" borderId="114" xfId="0" applyNumberFormat="1" applyFill="1" applyBorder="1" applyAlignment="1">
      <alignment horizontal="center" vertical="center"/>
    </xf>
    <xf numFmtId="0" fontId="5" fillId="0" borderId="115" xfId="0" applyFont="1" applyBorder="1"/>
    <xf numFmtId="178" fontId="0" fillId="0" borderId="91" xfId="0" applyNumberFormat="1" applyBorder="1" applyAlignment="1">
      <alignment horizontal="center" vertical="center"/>
    </xf>
    <xf numFmtId="0" fontId="5" fillId="0" borderId="92" xfId="0" applyFont="1" applyBorder="1"/>
    <xf numFmtId="172" fontId="0" fillId="0" borderId="18" xfId="0" applyNumberFormat="1" applyBorder="1" applyAlignment="1">
      <alignment horizontal="center" vertical="center"/>
    </xf>
    <xf numFmtId="0" fontId="5" fillId="0" borderId="100" xfId="0" applyFont="1" applyBorder="1"/>
    <xf numFmtId="181" fontId="0" fillId="0" borderId="108" xfId="0" applyNumberFormat="1" applyBorder="1" applyAlignment="1">
      <alignment horizontal="center" vertical="center"/>
    </xf>
    <xf numFmtId="0" fontId="5" fillId="0" borderId="109" xfId="0" applyFont="1" applyBorder="1"/>
    <xf numFmtId="0" fontId="12" fillId="7" borderId="133" xfId="0" applyFont="1" applyFill="1" applyBorder="1" applyAlignment="1">
      <alignment horizontal="center" vertical="center"/>
    </xf>
    <xf numFmtId="0" fontId="5" fillId="0" borderId="134" xfId="0" applyFont="1" applyBorder="1"/>
    <xf numFmtId="0" fontId="5" fillId="0" borderId="135" xfId="0" applyFont="1" applyBorder="1"/>
    <xf numFmtId="0" fontId="4" fillId="2" borderId="36" xfId="0" applyFont="1" applyFill="1" applyBorder="1" applyAlignment="1">
      <alignment horizontal="center" vertical="center"/>
    </xf>
    <xf numFmtId="0" fontId="5" fillId="0" borderId="37" xfId="0" applyFont="1" applyBorder="1"/>
    <xf numFmtId="0" fontId="5" fillId="0" borderId="39" xfId="0" applyFont="1" applyBorder="1"/>
    <xf numFmtId="0" fontId="4" fillId="2" borderId="36" xfId="0" applyFont="1" applyFill="1" applyBorder="1" applyAlignment="1">
      <alignment horizontal="right" vertical="center"/>
    </xf>
    <xf numFmtId="0" fontId="1" fillId="2" borderId="96" xfId="0" applyFont="1" applyFill="1" applyBorder="1" applyAlignment="1">
      <alignment horizontal="center" vertical="center"/>
    </xf>
    <xf numFmtId="0" fontId="5" fillId="0" borderId="97" xfId="0" applyFont="1" applyBorder="1"/>
    <xf numFmtId="0" fontId="1" fillId="2" borderId="94" xfId="0" applyFont="1" applyFill="1" applyBorder="1" applyAlignment="1">
      <alignment horizontal="center" vertical="center"/>
    </xf>
    <xf numFmtId="0" fontId="5" fillId="0" borderId="95" xfId="0" applyFont="1" applyBorder="1"/>
    <xf numFmtId="173" fontId="12" fillId="7" borderId="204" xfId="0" applyNumberFormat="1" applyFont="1" applyFill="1" applyBorder="1" applyAlignment="1">
      <alignment horizontal="center" vertical="center"/>
    </xf>
    <xf numFmtId="0" fontId="5" fillId="0" borderId="205" xfId="0" applyFont="1" applyBorder="1"/>
    <xf numFmtId="0" fontId="5" fillId="0" borderId="206" xfId="0" applyFont="1" applyBorder="1"/>
    <xf numFmtId="0" fontId="4" fillId="2" borderId="181" xfId="0" applyFont="1" applyFill="1" applyBorder="1" applyAlignment="1">
      <alignment horizontal="center" vertical="center"/>
    </xf>
    <xf numFmtId="176" fontId="0" fillId="10" borderId="114" xfId="0" applyNumberFormat="1" applyFill="1" applyBorder="1" applyAlignment="1">
      <alignment horizontal="center" vertical="center"/>
    </xf>
    <xf numFmtId="0" fontId="5" fillId="0" borderId="191" xfId="0" applyFont="1" applyBorder="1"/>
    <xf numFmtId="0" fontId="1" fillId="2" borderId="192" xfId="0" applyFont="1" applyFill="1" applyBorder="1" applyAlignment="1">
      <alignment horizontal="center" vertical="center"/>
    </xf>
    <xf numFmtId="176" fontId="0" fillId="10" borderId="196" xfId="0" applyNumberFormat="1" applyFill="1" applyBorder="1" applyAlignment="1">
      <alignment horizontal="center" vertical="center"/>
    </xf>
    <xf numFmtId="0" fontId="5" fillId="0" borderId="207" xfId="0" applyFont="1" applyBorder="1"/>
    <xf numFmtId="0" fontId="12" fillId="7" borderId="196" xfId="0" applyFont="1" applyFill="1" applyBorder="1" applyAlignment="1">
      <alignment horizontal="center" vertical="center"/>
    </xf>
    <xf numFmtId="0" fontId="5" fillId="0" borderId="197" xfId="0" applyFont="1" applyBorder="1"/>
    <xf numFmtId="0" fontId="5" fillId="0" borderId="198" xfId="0" applyFont="1" applyBorder="1"/>
    <xf numFmtId="0" fontId="12" fillId="7" borderId="201" xfId="0" applyFont="1" applyFill="1" applyBorder="1" applyAlignment="1">
      <alignment horizontal="center" vertical="center"/>
    </xf>
    <xf numFmtId="173" fontId="12" fillId="7" borderId="201" xfId="0" applyNumberFormat="1" applyFont="1" applyFill="1" applyBorder="1" applyAlignment="1">
      <alignment horizontal="center" vertical="center"/>
    </xf>
    <xf numFmtId="0" fontId="12" fillId="7" borderId="202" xfId="0" applyFont="1" applyFill="1" applyBorder="1" applyAlignment="1">
      <alignment horizontal="center" vertical="center"/>
    </xf>
    <xf numFmtId="0" fontId="5" fillId="0" borderId="203" xfId="0" applyFont="1" applyBorder="1"/>
    <xf numFmtId="0" fontId="12" fillId="7" borderId="204" xfId="0" applyFont="1" applyFill="1" applyBorder="1" applyAlignment="1">
      <alignment horizontal="center" vertical="center"/>
    </xf>
    <xf numFmtId="0" fontId="1" fillId="2" borderId="172" xfId="0" applyFont="1" applyFill="1" applyBorder="1" applyAlignment="1">
      <alignment horizontal="center" vertical="center"/>
    </xf>
    <xf numFmtId="0" fontId="5" fillId="0" borderId="173" xfId="0" applyFont="1" applyBorder="1"/>
    <xf numFmtId="0" fontId="1" fillId="2" borderId="174" xfId="0" applyFont="1" applyFill="1" applyBorder="1" applyAlignment="1">
      <alignment horizontal="center" vertical="center"/>
    </xf>
    <xf numFmtId="0" fontId="0" fillId="9" borderId="172" xfId="0" applyFill="1" applyBorder="1" applyAlignment="1">
      <alignment horizontal="center" vertical="center"/>
    </xf>
    <xf numFmtId="184" fontId="0" fillId="9" borderId="179" xfId="0" applyNumberFormat="1" applyFill="1" applyBorder="1" applyAlignment="1">
      <alignment horizontal="center" vertical="center"/>
    </xf>
    <xf numFmtId="0" fontId="5" fillId="0" borderId="180" xfId="0" applyFont="1" applyBorder="1"/>
    <xf numFmtId="0" fontId="1" fillId="2" borderId="226" xfId="0" applyFont="1" applyFill="1" applyBorder="1" applyAlignment="1">
      <alignment horizontal="center" vertical="center"/>
    </xf>
    <xf numFmtId="0" fontId="5" fillId="0" borderId="227" xfId="0" applyFont="1" applyBorder="1"/>
    <xf numFmtId="0" fontId="2" fillId="0" borderId="160" xfId="0" applyFont="1" applyBorder="1" applyAlignment="1">
      <alignment horizontal="center" vertical="center"/>
    </xf>
    <xf numFmtId="0" fontId="5" fillId="0" borderId="16" xfId="0" applyFont="1" applyBorder="1"/>
    <xf numFmtId="0" fontId="5" fillId="0" borderId="15" xfId="0" applyFont="1" applyBorder="1"/>
    <xf numFmtId="0" fontId="18" fillId="17" borderId="243" xfId="0" applyFont="1" applyFill="1" applyBorder="1" applyAlignment="1">
      <alignment horizontal="center" vertical="center"/>
    </xf>
    <xf numFmtId="0" fontId="5" fillId="0" borderId="244" xfId="0" applyFont="1" applyBorder="1"/>
    <xf numFmtId="0" fontId="5" fillId="0" borderId="245" xfId="0" applyFont="1" applyBorder="1"/>
    <xf numFmtId="0" fontId="5" fillId="0" borderId="246" xfId="0" applyFont="1" applyBorder="1"/>
    <xf numFmtId="0" fontId="25" fillId="2" borderId="267" xfId="0" applyFont="1" applyFill="1" applyBorder="1" applyAlignment="1">
      <alignment horizontal="center" vertical="center"/>
    </xf>
    <xf numFmtId="0" fontId="25" fillId="0" borderId="268" xfId="0" applyFont="1" applyBorder="1" applyAlignment="1">
      <alignment horizontal="center" vertical="center"/>
    </xf>
    <xf numFmtId="0" fontId="25" fillId="0" borderId="269" xfId="0" applyFont="1" applyBorder="1" applyAlignment="1">
      <alignment horizontal="center" vertical="center"/>
    </xf>
    <xf numFmtId="0" fontId="25" fillId="2" borderId="268" xfId="0" applyFont="1" applyFill="1" applyBorder="1" applyAlignment="1">
      <alignment horizontal="center" vertical="center"/>
    </xf>
    <xf numFmtId="0" fontId="12" fillId="7" borderId="246" xfId="0" applyFont="1" applyFill="1" applyBorder="1" applyAlignment="1">
      <alignment horizontal="center" vertical="center"/>
    </xf>
    <xf numFmtId="0" fontId="5" fillId="0" borderId="369" xfId="0" applyFont="1" applyBorder="1" applyAlignment="1">
      <alignment horizontal="center" vertical="center"/>
    </xf>
    <xf numFmtId="0" fontId="25" fillId="2" borderId="40" xfId="0" applyFont="1" applyFill="1" applyBorder="1" applyAlignment="1">
      <alignment horizontal="center" vertical="center"/>
    </xf>
    <xf numFmtId="0" fontId="25" fillId="0" borderId="38" xfId="0" applyFont="1" applyBorder="1" applyAlignment="1">
      <alignment horizontal="center" vertical="center"/>
    </xf>
    <xf numFmtId="0" fontId="25" fillId="2" borderId="181" xfId="0" applyFont="1" applyFill="1" applyBorder="1" applyAlignment="1">
      <alignment horizontal="center" vertical="center"/>
    </xf>
    <xf numFmtId="0" fontId="25" fillId="0" borderId="39" xfId="0" applyFont="1" applyBorder="1" applyAlignment="1">
      <alignment horizontal="center" vertical="center"/>
    </xf>
    <xf numFmtId="0" fontId="1" fillId="2" borderId="191" xfId="0" applyFont="1" applyFill="1" applyBorder="1" applyAlignment="1">
      <alignment horizontal="center" vertical="center"/>
    </xf>
    <xf numFmtId="173" fontId="12" fillId="7" borderId="246" xfId="0" applyNumberFormat="1" applyFont="1" applyFill="1" applyBorder="1" applyAlignment="1">
      <alignment horizontal="center" vertical="center"/>
    </xf>
    <xf numFmtId="0" fontId="5" fillId="0" borderId="246" xfId="0" applyFont="1" applyBorder="1" applyAlignment="1">
      <alignment horizontal="center" vertical="center"/>
    </xf>
    <xf numFmtId="0" fontId="12" fillId="7" borderId="278" xfId="0" applyFont="1" applyFill="1" applyBorder="1" applyAlignment="1">
      <alignment horizontal="center" vertical="center"/>
    </xf>
    <xf numFmtId="0" fontId="12" fillId="7" borderId="276" xfId="0" applyFont="1" applyFill="1" applyBorder="1" applyAlignment="1">
      <alignment horizontal="center" vertical="center"/>
    </xf>
    <xf numFmtId="0" fontId="5" fillId="0" borderId="276" xfId="0" applyFont="1" applyBorder="1" applyAlignment="1">
      <alignment horizontal="center" vertical="center"/>
    </xf>
    <xf numFmtId="0" fontId="5" fillId="0" borderId="376" xfId="0" applyFont="1" applyBorder="1" applyAlignment="1">
      <alignment horizontal="center" vertical="center"/>
    </xf>
    <xf numFmtId="0" fontId="42" fillId="33" borderId="279" xfId="0" applyFont="1" applyFill="1" applyBorder="1" applyAlignment="1">
      <alignment horizontal="center" vertical="center"/>
    </xf>
    <xf numFmtId="0" fontId="42" fillId="22" borderId="279" xfId="0" applyFont="1" applyFill="1" applyBorder="1" applyAlignment="1">
      <alignment horizontal="center" vertical="center"/>
    </xf>
    <xf numFmtId="165" fontId="42" fillId="22" borderId="429" xfId="0" applyNumberFormat="1" applyFont="1" applyFill="1" applyBorder="1" applyAlignment="1">
      <alignment horizontal="center" vertical="center"/>
    </xf>
    <xf numFmtId="165" fontId="42" fillId="33" borderId="429" xfId="0" applyNumberFormat="1" applyFont="1" applyFill="1" applyBorder="1" applyAlignment="1">
      <alignment horizontal="center" vertical="center"/>
    </xf>
    <xf numFmtId="0" fontId="41" fillId="0" borderId="47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2" borderId="420" xfId="0" applyFont="1" applyFill="1" applyBorder="1" applyAlignment="1">
      <alignment horizontal="center" vertical="center"/>
    </xf>
    <xf numFmtId="176" fontId="0" fillId="10" borderId="421" xfId="0" applyNumberFormat="1" applyFill="1" applyBorder="1" applyAlignment="1">
      <alignment horizontal="center" vertical="center"/>
    </xf>
    <xf numFmtId="176" fontId="0" fillId="10" borderId="251" xfId="0" applyNumberFormat="1" applyFill="1" applyBorder="1" applyAlignment="1">
      <alignment horizontal="center" vertical="center"/>
    </xf>
    <xf numFmtId="176" fontId="0" fillId="10" borderId="422" xfId="0" applyNumberFormat="1" applyFill="1" applyBorder="1" applyAlignment="1">
      <alignment horizontal="center" vertical="center"/>
    </xf>
    <xf numFmtId="0" fontId="5" fillId="0" borderId="228" xfId="0" applyFont="1" applyBorder="1" applyAlignment="1">
      <alignment horizontal="center" vertical="center"/>
    </xf>
    <xf numFmtId="0" fontId="28" fillId="0" borderId="191" xfId="0" applyFont="1" applyBorder="1"/>
    <xf numFmtId="0" fontId="28" fillId="0" borderId="97" xfId="0" applyFont="1" applyBorder="1"/>
    <xf numFmtId="176" fontId="27" fillId="10" borderId="114" xfId="0" applyNumberFormat="1" applyFont="1" applyFill="1" applyBorder="1" applyAlignment="1">
      <alignment horizontal="center" vertical="center"/>
    </xf>
    <xf numFmtId="0" fontId="28" fillId="0" borderId="115" xfId="0" applyFont="1" applyBorder="1"/>
    <xf numFmtId="0" fontId="5" fillId="0" borderId="279" xfId="0" applyFont="1" applyBorder="1" applyAlignment="1">
      <alignment horizontal="center" vertical="center"/>
    </xf>
    <xf numFmtId="0" fontId="12" fillId="7" borderId="275" xfId="0" applyFont="1" applyFill="1" applyBorder="1" applyAlignment="1">
      <alignment horizontal="center" vertical="center"/>
    </xf>
    <xf numFmtId="173" fontId="12" fillId="7" borderId="278" xfId="0" applyNumberFormat="1" applyFont="1" applyFill="1" applyBorder="1" applyAlignment="1">
      <alignment horizontal="center" vertical="center"/>
    </xf>
    <xf numFmtId="0" fontId="5" fillId="0" borderId="277" xfId="0" applyFont="1" applyBorder="1" applyAlignment="1">
      <alignment horizontal="center" vertical="center"/>
    </xf>
    <xf numFmtId="0" fontId="5" fillId="0" borderId="351" xfId="0" applyFont="1" applyBorder="1" applyAlignment="1">
      <alignment horizontal="center" vertical="center"/>
    </xf>
    <xf numFmtId="0" fontId="5" fillId="0" borderId="274" xfId="0" applyFont="1" applyBorder="1" applyAlignment="1">
      <alignment horizontal="center" vertical="center"/>
    </xf>
    <xf numFmtId="0" fontId="0" fillId="0" borderId="0" xfId="0"/>
    <xf numFmtId="189" fontId="0" fillId="6" borderId="262" xfId="0" applyNumberFormat="1" applyFill="1" applyBorder="1" applyAlignment="1">
      <alignment horizontal="center" vertical="center"/>
    </xf>
    <xf numFmtId="0" fontId="5" fillId="0" borderId="256" xfId="0" applyFont="1" applyBorder="1"/>
    <xf numFmtId="0" fontId="20" fillId="4" borderId="226" xfId="0" applyFont="1" applyFill="1" applyBorder="1" applyAlignment="1">
      <alignment horizontal="center" vertical="center"/>
    </xf>
    <xf numFmtId="0" fontId="20" fillId="5" borderId="172" xfId="0" applyFont="1" applyFill="1" applyBorder="1" applyAlignment="1">
      <alignment horizontal="center" vertical="center"/>
    </xf>
    <xf numFmtId="0" fontId="5" fillId="0" borderId="255" xfId="0" applyFont="1" applyBorder="1"/>
    <xf numFmtId="0" fontId="5" fillId="0" borderId="260" xfId="0" applyFont="1" applyBorder="1"/>
    <xf numFmtId="0" fontId="5" fillId="0" borderId="261" xfId="0" applyFont="1" applyBorder="1"/>
    <xf numFmtId="0" fontId="19" fillId="19" borderId="226" xfId="0" applyFont="1" applyFill="1" applyBorder="1" applyAlignment="1">
      <alignment horizontal="center" vertical="center"/>
    </xf>
    <xf numFmtId="0" fontId="5" fillId="0" borderId="253" xfId="0" applyFont="1" applyBorder="1"/>
    <xf numFmtId="0" fontId="5" fillId="0" borderId="254" xfId="0" applyFont="1" applyBorder="1"/>
    <xf numFmtId="0" fontId="19" fillId="19" borderId="172" xfId="0" applyFont="1" applyFill="1" applyBorder="1" applyAlignment="1">
      <alignment horizontal="center" vertical="center"/>
    </xf>
    <xf numFmtId="0" fontId="20" fillId="5" borderId="262" xfId="0" applyFont="1" applyFill="1" applyBorder="1" applyAlignment="1">
      <alignment horizontal="center" vertical="center"/>
    </xf>
  </cellXfs>
  <cellStyles count="2">
    <cellStyle name="Hyperlink" xfId="1" xr:uid="{00000000-000B-0000-0000-000008000000}"/>
    <cellStyle name="Normální" xfId="0" builtinId="0"/>
  </cellStyles>
  <dxfs count="211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bottom style="thin">
          <color rgb="FF505050"/>
        </bottom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bottom style="thin">
          <color rgb="FF505050"/>
        </bottom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bottom style="thin">
          <color rgb="FF505050"/>
        </bottom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bottom style="thin">
          <color rgb="FF505050"/>
        </bottom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thin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border>
        <bottom style="thin">
          <color theme="0"/>
        </bottom>
      </border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thin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border>
        <bottom style="thin">
          <color theme="0"/>
        </bottom>
      </border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thin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border>
        <bottom style="thin">
          <color theme="0"/>
        </bottom>
      </border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thin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border>
        <bottom style="thin">
          <color theme="0"/>
        </bottom>
      </border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/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thin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border>
        <bottom style="thin">
          <color theme="0"/>
        </bottom>
      </border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  <vertical style="medium">
          <color theme="1"/>
        </vertical>
        <horizontal style="medium">
          <color theme="1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4" formatCode="d/m;@"/>
      <alignment horizontal="center" vertical="center"/>
      <border>
        <left style="thin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4"/>
      </font>
      <numFmt numFmtId="194" formatCode="d/m;@"/>
      <alignment horizontal="center" vertical="center"/>
      <border>
        <left style="hair">
          <color theme="0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border>
        <bottom style="thin">
          <color theme="0"/>
        </bottom>
      </border>
    </dxf>
    <dxf>
      <font>
        <b/>
        <sz val="14"/>
        <color theme="0"/>
        <name val="Calibri"/>
        <scheme val="minor"/>
      </font>
      <alignment horizontal="center" vertical="center"/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0" formatCode="General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68" formatCode="#,##0\ [$Kč-405]"/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85" formatCode="#,##0.0\ [$Kč-405]"/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88" formatCode="#,##0.00\ [$Kč-405]"/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general" vertical="bottom" textRotation="0" wrapText="0" indent="0" justifyLastLine="0" shrinkToFit="0" readingOrder="0"/>
    </dxf>
    <dxf>
      <border outline="0">
        <left style="thick">
          <color theme="1"/>
        </left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general" vertical="bottom" textRotation="0" wrapText="0" indent="0" justifyLastLine="0" shrinkToFit="0" readingOrder="0"/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" formatCode="dd/mm/yyyy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/>
        <right/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thin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72" formatCode="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/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4" formatCode="d/m;@"/>
      <alignment horizontal="center" vertical="center" textRotation="0" wrapText="0" indent="0" justifyLastLine="0" shrinkToFit="0" readingOrder="0"/>
      <border diagonalUp="0" diagonalDown="0">
        <left/>
        <right style="thick">
          <color theme="1"/>
        </right>
        <top style="hair">
          <color theme="0"/>
        </top>
        <bottom style="hair">
          <color theme="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72" formatCode="#,##0.00\ [$€-1]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/>
        <horizontal/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hair">
          <color theme="0"/>
        </left>
        <right style="thick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1" formatCode="#,##0\ [$€-1];[Red]\-#,##0\ [$€-1]"/>
      <alignment horizontal="center" vertical="center"/>
      <border>
        <left style="thick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89" formatCode="#,##0\ [$Kč-405];[Red]\-#,##0\ [$Kč-405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0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thin">
          <color theme="1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6" formatCode="#,##0.00\ [$€-1];[Red]\-#,##0.00\ [$€-1]"/>
      <alignment horizontal="center" vertical="center"/>
      <border>
        <left style="medium">
          <color theme="1"/>
        </left>
        <right style="thin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4" formatCode="d/m;@"/>
      <alignment horizontal="center" vertical="center"/>
      <border>
        <left style="dotted">
          <color theme="0"/>
        </left>
        <right style="dotted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ont>
        <sz val="11"/>
      </font>
      <numFmt numFmtId="195" formatCode="#,##0.00\ [$Kč-405];[Red]\-#,##0.00\ [$Kč-405]"/>
      <alignment horizontal="center" vertical="center"/>
      <border>
        <left style="medium">
          <color theme="1"/>
        </left>
        <right style="thin">
          <color theme="1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border outline="0">
        <top style="medium">
          <color rgb="FFFFFFFF"/>
        </top>
        <bottom style="medium">
          <color rgb="FF000000"/>
        </bottom>
      </border>
    </dxf>
    <dxf>
      <font>
        <sz val="11"/>
      </font>
      <alignment horizontal="center" vertical="center"/>
    </dxf>
    <dxf>
      <font>
        <b/>
        <sz val="14"/>
        <name val="Calibri"/>
        <scheme val="minor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88" formatCode="#,##0.00\ [$Kč-405]"/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/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" formatCode="0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 diagonalUp="0" diagonalDown="0"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00" formatCode="[h]:mm:ss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9" formatCode="h:mm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193" formatCode="dd/mm/yy;@"/>
      <alignment horizontal="center" vertical="center" textRotation="0" wrapText="0" indent="0" justifyLastLine="0" shrinkToFit="0" readingOrder="0"/>
      <border>
        <left style="medium">
          <color theme="1"/>
        </left>
        <right style="medium">
          <color theme="1"/>
        </right>
        <top style="thin">
          <color rgb="FF505050"/>
        </top>
        <bottom style="thin">
          <color rgb="FF505050"/>
        </bottom>
        <vertical style="thin">
          <color rgb="FF505050"/>
        </vertical>
        <horizontal style="thin">
          <color rgb="FF505050"/>
        </horizontal>
      </border>
    </dxf>
    <dxf>
      <border>
        <top style="thin">
          <color rgb="FF505050"/>
        </top>
      </border>
    </dxf>
    <dxf>
      <border>
        <left style="thin">
          <color rgb="FF505050"/>
        </left>
        <right style="thin">
          <color rgb="FF505050"/>
        </right>
        <top style="thin">
          <color rgb="FF505050"/>
        </top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</dxf>
    <dxf>
      <border>
        <bottom style="thin">
          <color rgb="FF50505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>
        <left style="thin">
          <color rgb="FF505050"/>
        </left>
        <right style="thin">
          <color rgb="FF505050"/>
        </right>
        <top/>
        <bottom/>
        <vertical style="thin">
          <color rgb="FF505050"/>
        </vertical>
        <horizontal style="thin">
          <color rgb="FF505050"/>
        </horizontal>
      </border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A4C2F4"/>
          <bgColor rgb="FFA4C2F4"/>
        </patternFill>
      </fill>
    </dxf>
    <dxf>
      <fill>
        <patternFill patternType="solid">
          <fgColor rgb="FF3D85C6"/>
          <bgColor rgb="FF3D85C6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A4C2F4"/>
          <bgColor rgb="FFA4C2F4"/>
        </patternFill>
      </fill>
    </dxf>
    <dxf>
      <fill>
        <patternFill patternType="solid">
          <fgColor rgb="FF3D85C6"/>
          <bgColor rgb="FF3D85C6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A4C2F4"/>
          <bgColor rgb="FFA4C2F4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A5A5A5"/>
          <bgColor rgb="FFA5A5A5"/>
        </patternFill>
      </fill>
    </dxf>
    <dxf>
      <fill>
        <patternFill patternType="solid">
          <fgColor rgb="FF000000"/>
          <bgColor rgb="FF000000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A5A5A5"/>
          <bgColor rgb="FFA5A5A5"/>
        </patternFill>
      </fill>
    </dxf>
    <dxf>
      <fill>
        <patternFill patternType="solid">
          <fgColor rgb="FF000000"/>
          <bgColor rgb="FF000000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A5A5A5"/>
          <bgColor rgb="FFA5A5A5"/>
        </patternFill>
      </fill>
    </dxf>
    <dxf>
      <fill>
        <patternFill patternType="solid">
          <fgColor rgb="FF000000"/>
          <bgColor rgb="FF000000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A5A5A5"/>
          <bgColor rgb="FFA5A5A5"/>
        </patternFill>
      </fill>
    </dxf>
    <dxf>
      <fill>
        <patternFill patternType="solid">
          <fgColor rgb="FF000000"/>
          <bgColor rgb="FF000000"/>
        </patternFill>
      </fill>
    </dxf>
  </dxfs>
  <tableStyles count="7">
    <tableStyle name="ZáříHodiny-style" pivot="0" count="3" xr9:uid="{00000000-0011-0000-FFFF-FFFF00000000}">
      <tableStyleElement type="headerRow" dxfId="2113"/>
      <tableStyleElement type="firstRowStripe" dxfId="2112"/>
      <tableStyleElement type="secondRowStripe" dxfId="2111"/>
    </tableStyle>
    <tableStyle name="ZáříHodiny-style 2" pivot="0" count="3" xr9:uid="{00000000-0011-0000-FFFF-FFFF01000000}">
      <tableStyleElement type="headerRow" dxfId="2110"/>
      <tableStyleElement type="firstRowStripe" dxfId="2109"/>
      <tableStyleElement type="secondRowStripe" dxfId="2108"/>
    </tableStyle>
    <tableStyle name="ZáříHodiny-style 3" pivot="0" count="3" xr9:uid="{00000000-0011-0000-FFFF-FFFF02000000}">
      <tableStyleElement type="headerRow" dxfId="2107"/>
      <tableStyleElement type="firstRowStripe" dxfId="2106"/>
      <tableStyleElement type="secondRowStripe" dxfId="2105"/>
    </tableStyle>
    <tableStyle name="ZáříHodiny-style 4" pivot="0" count="3" xr9:uid="{00000000-0011-0000-FFFF-FFFF03000000}">
      <tableStyleElement type="headerRow" dxfId="2104"/>
      <tableStyleElement type="firstRowStripe" dxfId="2103"/>
      <tableStyleElement type="secondRowStripe" dxfId="2102"/>
    </tableStyle>
    <tableStyle name="Hodiny záloha -style" pivot="0" count="2" xr9:uid="{00000000-0011-0000-FFFF-FFFF04000000}">
      <tableStyleElement type="firstRowStripe" dxfId="2101"/>
      <tableStyleElement type="secondRowStripe" dxfId="2100"/>
    </tableStyle>
    <tableStyle name="Hodiny záloha -style 2" pivot="0" count="3" xr9:uid="{00000000-0011-0000-FFFF-FFFF05000000}">
      <tableStyleElement type="headerRow" dxfId="2099"/>
      <tableStyleElement type="firstRowStripe" dxfId="2098"/>
      <tableStyleElement type="secondRowStripe" dxfId="2097"/>
    </tableStyle>
    <tableStyle name="Hodiny záloha -style 3" pivot="0" count="3" xr9:uid="{00000000-0011-0000-FFFF-FFFF06000000}">
      <tableStyleElement type="headerRow" dxfId="2096"/>
      <tableStyleElement type="firstRowStripe" dxfId="2095"/>
      <tableStyleElement type="secondRowStripe" dxfId="209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sharedStrings" Target="sharedStrings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microsoft.com/office/2017/10/relationships/person" Target="persons/person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styles" Target="styles.xml"/><Relationship Id="rId9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theme" Target="theme/theme1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jpeg"/><Relationship Id="rId1" Type="http://schemas.openxmlformats.org/officeDocument/2006/relationships/image" Target="../media/image30.jpe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jpeg"/><Relationship Id="rId1" Type="http://schemas.openxmlformats.org/officeDocument/2006/relationships/image" Target="../media/image32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jpeg"/><Relationship Id="rId1" Type="http://schemas.openxmlformats.org/officeDocument/2006/relationships/image" Target="../media/image36.jpe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jpeg"/><Relationship Id="rId1" Type="http://schemas.openxmlformats.org/officeDocument/2006/relationships/image" Target="../media/image38.jpe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jpeg"/><Relationship Id="rId1" Type="http://schemas.openxmlformats.org/officeDocument/2006/relationships/image" Target="../media/image40.jpe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jpeg"/><Relationship Id="rId1" Type="http://schemas.openxmlformats.org/officeDocument/2006/relationships/image" Target="../media/image42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38100</xdr:colOff>
      <xdr:row>0</xdr:row>
      <xdr:rowOff>0</xdr:rowOff>
    </xdr:from>
    <xdr:ext cx="7362825" cy="4381500"/>
    <xdr:pic>
      <xdr:nvPicPr>
        <xdr:cNvPr id="2" name="image2.jp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7915</xdr:colOff>
      <xdr:row>0</xdr:row>
      <xdr:rowOff>0</xdr:rowOff>
    </xdr:from>
    <xdr:to>
      <xdr:col>33</xdr:col>
      <xdr:colOff>43147</xdr:colOff>
      <xdr:row>34</xdr:row>
      <xdr:rowOff>11480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B05299D3-A58A-E1A1-F290-61D08D0C4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26543" y="0"/>
          <a:ext cx="6762604" cy="687541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406097</xdr:colOff>
      <xdr:row>0</xdr:row>
      <xdr:rowOff>0</xdr:rowOff>
    </xdr:from>
    <xdr:to>
      <xdr:col>28</xdr:col>
      <xdr:colOff>168363</xdr:colOff>
      <xdr:row>19</xdr:row>
      <xdr:rowOff>190135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5BE025E1-E921-7380-65A9-B5EFEC48B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25622" y="0"/>
          <a:ext cx="4034083" cy="395065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367161</xdr:colOff>
      <xdr:row>0</xdr:row>
      <xdr:rowOff>0</xdr:rowOff>
    </xdr:from>
    <xdr:to>
      <xdr:col>30</xdr:col>
      <xdr:colOff>165248</xdr:colOff>
      <xdr:row>26</xdr:row>
      <xdr:rowOff>63408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B128747A-0D2F-B0F5-DC67-B8B16276E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10777" y="0"/>
          <a:ext cx="5302299" cy="53123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318042</xdr:colOff>
      <xdr:row>0</xdr:row>
      <xdr:rowOff>0</xdr:rowOff>
    </xdr:from>
    <xdr:to>
      <xdr:col>29</xdr:col>
      <xdr:colOff>496962</xdr:colOff>
      <xdr:row>16</xdr:row>
      <xdr:rowOff>179583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D7D15352-684F-332F-2471-CF5CCBC86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03483" y="0"/>
          <a:ext cx="5051297" cy="3392907"/>
        </a:xfrm>
        <a:prstGeom prst="rect">
          <a:avLst/>
        </a:prstGeom>
      </xdr:spPr>
    </xdr:pic>
    <xdr:clientData/>
  </xdr:twoCellAnchor>
  <xdr:twoCellAnchor editAs="oneCell">
    <xdr:from>
      <xdr:col>29</xdr:col>
      <xdr:colOff>115710</xdr:colOff>
      <xdr:row>5</xdr:row>
      <xdr:rowOff>91045</xdr:rowOff>
    </xdr:from>
    <xdr:to>
      <xdr:col>32</xdr:col>
      <xdr:colOff>211703</xdr:colOff>
      <xdr:row>11</xdr:row>
      <xdr:rowOff>75210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9588CD45-E335-6FE4-2A63-154095E03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83626" y="1100447"/>
          <a:ext cx="1924793" cy="1195449"/>
        </a:xfrm>
        <a:prstGeom prst="rect">
          <a:avLst/>
        </a:prstGeom>
      </xdr:spPr>
    </xdr:pic>
    <xdr:clientData/>
  </xdr:twoCellAnchor>
  <xdr:twoCellAnchor editAs="oneCell">
    <xdr:from>
      <xdr:col>29</xdr:col>
      <xdr:colOff>145466</xdr:colOff>
      <xdr:row>0</xdr:row>
      <xdr:rowOff>23809</xdr:rowOff>
    </xdr:from>
    <xdr:to>
      <xdr:col>32</xdr:col>
      <xdr:colOff>194755</xdr:colOff>
      <xdr:row>5</xdr:row>
      <xdr:rowOff>91044</xdr:rowOff>
    </xdr:to>
    <xdr:pic>
      <xdr:nvPicPr>
        <xdr:cNvPr id="4" name="Obrázek 3">
          <a:extLst>
            <a:ext uri="{FF2B5EF4-FFF2-40B4-BE49-F238E27FC236}">
              <a16:creationId xmlns:a16="http://schemas.microsoft.com/office/drawing/2014/main" id="{B24CEFFB-0F70-538F-766C-567C3E146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13382" y="23809"/>
          <a:ext cx="1878089" cy="107663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150222</xdr:colOff>
      <xdr:row>0</xdr:row>
      <xdr:rowOff>0</xdr:rowOff>
    </xdr:from>
    <xdr:to>
      <xdr:col>33</xdr:col>
      <xdr:colOff>583671</xdr:colOff>
      <xdr:row>25</xdr:row>
      <xdr:rowOff>35534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35038ED0-5005-5CA6-7938-634287876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37282" y="0"/>
          <a:ext cx="7772400" cy="482129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25530</xdr:colOff>
      <xdr:row>0</xdr:row>
      <xdr:rowOff>0</xdr:rowOff>
    </xdr:from>
    <xdr:to>
      <xdr:col>34</xdr:col>
      <xdr:colOff>458980</xdr:colOff>
      <xdr:row>26</xdr:row>
      <xdr:rowOff>118898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1B4EF102-B68E-7ADD-7C46-1EFE2B266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10266" y="0"/>
          <a:ext cx="7772400" cy="509466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61157</xdr:colOff>
      <xdr:row>0</xdr:row>
      <xdr:rowOff>0</xdr:rowOff>
    </xdr:from>
    <xdr:to>
      <xdr:col>33</xdr:col>
      <xdr:colOff>494605</xdr:colOff>
      <xdr:row>23</xdr:row>
      <xdr:rowOff>79018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6D22A5AD-C49F-B2BB-AFE7-BF2BBF589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8217" y="0"/>
          <a:ext cx="7772400" cy="448476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141317</xdr:colOff>
      <xdr:row>0</xdr:row>
      <xdr:rowOff>0</xdr:rowOff>
    </xdr:from>
    <xdr:to>
      <xdr:col>33</xdr:col>
      <xdr:colOff>577484</xdr:colOff>
      <xdr:row>24</xdr:row>
      <xdr:rowOff>188634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1DFB4806-2716-65FC-8DEB-98BA8C28C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28377" y="0"/>
          <a:ext cx="7775117" cy="478438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114597</xdr:colOff>
      <xdr:row>0</xdr:row>
      <xdr:rowOff>0</xdr:rowOff>
    </xdr:from>
    <xdr:to>
      <xdr:col>33</xdr:col>
      <xdr:colOff>548045</xdr:colOff>
      <xdr:row>25</xdr:row>
      <xdr:rowOff>80907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CE8F4E11-21D7-C91E-573E-B328E4090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20261" y="0"/>
          <a:ext cx="7772400" cy="486666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27312</xdr:colOff>
      <xdr:row>0</xdr:row>
      <xdr:rowOff>0</xdr:rowOff>
    </xdr:from>
    <xdr:to>
      <xdr:col>33</xdr:col>
      <xdr:colOff>460764</xdr:colOff>
      <xdr:row>25</xdr:row>
      <xdr:rowOff>147079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EFAB4454-3922-E57F-BB19-792D23F01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08436" y="0"/>
          <a:ext cx="7772400" cy="49328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20</xdr:col>
      <xdr:colOff>0</xdr:colOff>
      <xdr:row>0</xdr:row>
      <xdr:rowOff>0</xdr:rowOff>
    </xdr:from>
    <xdr:ext cx="6086475" cy="3429000"/>
    <xdr:pic>
      <xdr:nvPicPr>
        <xdr:cNvPr id="2" name="image3.jp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606568</xdr:colOff>
      <xdr:row>5</xdr:row>
      <xdr:rowOff>97039</xdr:rowOff>
    </xdr:from>
    <xdr:to>
      <xdr:col>38</xdr:col>
      <xdr:colOff>429614</xdr:colOff>
      <xdr:row>31</xdr:row>
      <xdr:rowOff>92005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9D90FB17-20FA-24C5-A931-4AC6CD241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09496" y="1071424"/>
          <a:ext cx="7739926" cy="495443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129232</xdr:colOff>
      <xdr:row>0</xdr:row>
      <xdr:rowOff>0</xdr:rowOff>
    </xdr:from>
    <xdr:to>
      <xdr:col>33</xdr:col>
      <xdr:colOff>566873</xdr:colOff>
      <xdr:row>24</xdr:row>
      <xdr:rowOff>183340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44EB052F-E470-0BD2-B6CA-5AD17BBA4E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5570" y="0"/>
          <a:ext cx="7772400" cy="481995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26785</xdr:colOff>
      <xdr:row>0</xdr:row>
      <xdr:rowOff>34175</xdr:rowOff>
    </xdr:from>
    <xdr:to>
      <xdr:col>34</xdr:col>
      <xdr:colOff>483985</xdr:colOff>
      <xdr:row>20</xdr:row>
      <xdr:rowOff>79252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852943BF-0DA9-F2F3-7D2D-639200EED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43091" y="34175"/>
          <a:ext cx="7772400" cy="432474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599740</xdr:colOff>
      <xdr:row>1</xdr:row>
      <xdr:rowOff>177501</xdr:rowOff>
    </xdr:from>
    <xdr:to>
      <xdr:col>38</xdr:col>
      <xdr:colOff>199279</xdr:colOff>
      <xdr:row>23</xdr:row>
      <xdr:rowOff>230819</xdr:rowOff>
    </xdr:to>
    <xdr:pic>
      <xdr:nvPicPr>
        <xdr:cNvPr id="5" name="Obrázek 1">
          <a:extLst>
            <a:ext uri="{FF2B5EF4-FFF2-40B4-BE49-F238E27FC236}">
              <a16:creationId xmlns:a16="http://schemas.microsoft.com/office/drawing/2014/main" id="{ED096A8D-64B4-636C-94D0-2558B927A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2982" y="446443"/>
          <a:ext cx="8133939" cy="5310656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17931</xdr:colOff>
      <xdr:row>0</xdr:row>
      <xdr:rowOff>31376</xdr:rowOff>
    </xdr:from>
    <xdr:to>
      <xdr:col>32</xdr:col>
      <xdr:colOff>351978</xdr:colOff>
      <xdr:row>16</xdr:row>
      <xdr:rowOff>181675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D02AB30F-487B-DAE1-3C62-446808861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21601" y="31376"/>
          <a:ext cx="5210847" cy="3319322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82064</xdr:colOff>
      <xdr:row>0</xdr:row>
      <xdr:rowOff>0</xdr:rowOff>
    </xdr:from>
    <xdr:to>
      <xdr:col>26</xdr:col>
      <xdr:colOff>242368</xdr:colOff>
      <xdr:row>12</xdr:row>
      <xdr:rowOff>35169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8E84CE17-F0E2-2B4B-A9E4-260ED22A3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7017" y="0"/>
          <a:ext cx="3208304" cy="242667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6730</xdr:colOff>
      <xdr:row>0</xdr:row>
      <xdr:rowOff>0</xdr:rowOff>
    </xdr:from>
    <xdr:to>
      <xdr:col>36</xdr:col>
      <xdr:colOff>463930</xdr:colOff>
      <xdr:row>17</xdr:row>
      <xdr:rowOff>130143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DDF158E1-40FA-4149-8BC7-5A7C0F16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68506" y="0"/>
          <a:ext cx="7772400" cy="3562111"/>
        </a:xfrm>
        <a:prstGeom prst="rect">
          <a:avLst/>
        </a:prstGeom>
      </xdr:spPr>
    </xdr:pic>
    <xdr:clientData/>
  </xdr:twoCellAnchor>
  <xdr:twoCellAnchor editAs="oneCell">
    <xdr:from>
      <xdr:col>23</xdr:col>
      <xdr:colOff>562708</xdr:colOff>
      <xdr:row>18</xdr:row>
      <xdr:rowOff>105508</xdr:rowOff>
    </xdr:from>
    <xdr:to>
      <xdr:col>30</xdr:col>
      <xdr:colOff>41032</xdr:colOff>
      <xdr:row>29</xdr:row>
      <xdr:rowOff>131940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C9637951-4540-644D-8250-7A609BF46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19985" y="3692770"/>
          <a:ext cx="3745524" cy="221864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3958</xdr:colOff>
      <xdr:row>0</xdr:row>
      <xdr:rowOff>0</xdr:rowOff>
    </xdr:from>
    <xdr:to>
      <xdr:col>34</xdr:col>
      <xdr:colOff>95003</xdr:colOff>
      <xdr:row>15</xdr:row>
      <xdr:rowOff>110838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62C26FE7-2B26-EB48-A35E-27E5693469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54" t="14721" r="13773" b="-1481"/>
        <a:stretch/>
      </xdr:blipFill>
      <xdr:spPr>
        <a:xfrm>
          <a:off x="19268375" y="0"/>
          <a:ext cx="6170078" cy="3079669"/>
        </a:xfrm>
        <a:prstGeom prst="rect">
          <a:avLst/>
        </a:prstGeom>
        <a:effectLst>
          <a:outerShdw blurRad="50800" dist="38100" dir="8100000" algn="tr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23</xdr:col>
      <xdr:colOff>468923</xdr:colOff>
      <xdr:row>17</xdr:row>
      <xdr:rowOff>46892</xdr:rowOff>
    </xdr:from>
    <xdr:to>
      <xdr:col>29</xdr:col>
      <xdr:colOff>316523</xdr:colOff>
      <xdr:row>26</xdr:row>
      <xdr:rowOff>149478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5764CD19-472B-934A-B33D-CAF223471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49646" y="3434862"/>
          <a:ext cx="3505200" cy="189621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64477</xdr:colOff>
      <xdr:row>10</xdr:row>
      <xdr:rowOff>128955</xdr:rowOff>
    </xdr:from>
    <xdr:to>
      <xdr:col>29</xdr:col>
      <xdr:colOff>205154</xdr:colOff>
      <xdr:row>20</xdr:row>
      <xdr:rowOff>117136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DAD83E3B-18F0-1B43-9DFF-21030C5FF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96892" y="2121878"/>
          <a:ext cx="3798277" cy="198110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93784</xdr:colOff>
      <xdr:row>10</xdr:row>
      <xdr:rowOff>169985</xdr:rowOff>
    </xdr:from>
    <xdr:to>
      <xdr:col>30</xdr:col>
      <xdr:colOff>181708</xdr:colOff>
      <xdr:row>21</xdr:row>
      <xdr:rowOff>115474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4AFB376D-1D39-0648-8AB9-ABB1BAB02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84107" y="2162908"/>
          <a:ext cx="3745524" cy="213770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21</xdr:col>
      <xdr:colOff>142875</xdr:colOff>
      <xdr:row>0</xdr:row>
      <xdr:rowOff>85725</xdr:rowOff>
    </xdr:from>
    <xdr:ext cx="7200900" cy="4095750"/>
    <xdr:pic>
      <xdr:nvPicPr>
        <xdr:cNvPr id="2" name="image4.jp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454844</xdr:colOff>
      <xdr:row>0</xdr:row>
      <xdr:rowOff>0</xdr:rowOff>
    </xdr:from>
    <xdr:to>
      <xdr:col>36</xdr:col>
      <xdr:colOff>307771</xdr:colOff>
      <xdr:row>23</xdr:row>
      <xdr:rowOff>59374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020CFC7C-DB63-634F-AEDA-121464B8F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5439" y="0"/>
          <a:ext cx="8442747" cy="4611584"/>
        </a:xfrm>
        <a:prstGeom prst="rect">
          <a:avLst/>
        </a:prstGeom>
      </xdr:spPr>
    </xdr:pic>
    <xdr:clientData/>
  </xdr:twoCellAnchor>
  <xdr:twoCellAnchor editAs="oneCell">
    <xdr:from>
      <xdr:col>23</xdr:col>
      <xdr:colOff>128954</xdr:colOff>
      <xdr:row>24</xdr:row>
      <xdr:rowOff>123092</xdr:rowOff>
    </xdr:from>
    <xdr:to>
      <xdr:col>29</xdr:col>
      <xdr:colOff>328245</xdr:colOff>
      <xdr:row>36</xdr:row>
      <xdr:rowOff>21372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DC373183-9881-5D48-91DF-12AF6B5B7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03816" y="4906107"/>
          <a:ext cx="3856891" cy="227806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31668</xdr:colOff>
      <xdr:row>0</xdr:row>
      <xdr:rowOff>86095</xdr:rowOff>
    </xdr:from>
    <xdr:to>
      <xdr:col>35</xdr:col>
      <xdr:colOff>60365</xdr:colOff>
      <xdr:row>18</xdr:row>
      <xdr:rowOff>174172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53A3301D-DBEB-3240-B249-B63590E76D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83" b="-8757"/>
        <a:stretch/>
      </xdr:blipFill>
      <xdr:spPr>
        <a:xfrm>
          <a:off x="18723428" y="86095"/>
          <a:ext cx="7343897" cy="3650673"/>
        </a:xfrm>
        <a:prstGeom prst="rect">
          <a:avLst/>
        </a:prstGeom>
      </xdr:spPr>
    </xdr:pic>
    <xdr:clientData/>
  </xdr:twoCellAnchor>
  <xdr:twoCellAnchor editAs="oneCell">
    <xdr:from>
      <xdr:col>23</xdr:col>
      <xdr:colOff>123092</xdr:colOff>
      <xdr:row>18</xdr:row>
      <xdr:rowOff>133217</xdr:rowOff>
    </xdr:from>
    <xdr:to>
      <xdr:col>30</xdr:col>
      <xdr:colOff>427892</xdr:colOff>
      <xdr:row>31</xdr:row>
      <xdr:rowOff>50507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67B48BC9-FFF2-0C41-8F9F-FB9F8E2B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39" y="3720479"/>
          <a:ext cx="4572000" cy="250809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553646</xdr:colOff>
      <xdr:row>0</xdr:row>
      <xdr:rowOff>92116</xdr:rowOff>
    </xdr:from>
    <xdr:to>
      <xdr:col>35</xdr:col>
      <xdr:colOff>398464</xdr:colOff>
      <xdr:row>22</xdr:row>
      <xdr:rowOff>63120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9BAD50D1-1701-E44A-B9B5-6CCD46197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6222" y="92116"/>
          <a:ext cx="7769618" cy="4325288"/>
        </a:xfrm>
        <a:prstGeom prst="rect">
          <a:avLst/>
        </a:prstGeom>
      </xdr:spPr>
    </xdr:pic>
    <xdr:clientData/>
  </xdr:twoCellAnchor>
  <xdr:twoCellAnchor editAs="oneCell">
    <xdr:from>
      <xdr:col>22</xdr:col>
      <xdr:colOff>211015</xdr:colOff>
      <xdr:row>22</xdr:row>
      <xdr:rowOff>152402</xdr:rowOff>
    </xdr:from>
    <xdr:to>
      <xdr:col>30</xdr:col>
      <xdr:colOff>457200</xdr:colOff>
      <xdr:row>38</xdr:row>
      <xdr:rowOff>2319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E976791B-BDF7-4547-B1DA-5086BB76B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58692" y="4536832"/>
          <a:ext cx="5122985" cy="300342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2039</xdr:colOff>
      <xdr:row>0</xdr:row>
      <xdr:rowOff>0</xdr:rowOff>
    </xdr:from>
    <xdr:to>
      <xdr:col>35</xdr:col>
      <xdr:colOff>298938</xdr:colOff>
      <xdr:row>21</xdr:row>
      <xdr:rowOff>193430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E813CB0C-36C9-6E4E-8484-EC22F69ED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49716" y="0"/>
          <a:ext cx="8221699" cy="4378568"/>
        </a:xfrm>
        <a:prstGeom prst="rect">
          <a:avLst/>
        </a:prstGeom>
      </xdr:spPr>
    </xdr:pic>
    <xdr:clientData/>
  </xdr:twoCellAnchor>
  <xdr:twoCellAnchor editAs="oneCell">
    <xdr:from>
      <xdr:col>22</xdr:col>
      <xdr:colOff>154744</xdr:colOff>
      <xdr:row>22</xdr:row>
      <xdr:rowOff>35170</xdr:rowOff>
    </xdr:from>
    <xdr:to>
      <xdr:col>29</xdr:col>
      <xdr:colOff>189914</xdr:colOff>
      <xdr:row>34</xdr:row>
      <xdr:rowOff>119461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65A42D60-6C45-BB41-9DC5-5B51D0D4C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03594" y="4522764"/>
          <a:ext cx="4318782" cy="25320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21</xdr:col>
      <xdr:colOff>9525</xdr:colOff>
      <xdr:row>0</xdr:row>
      <xdr:rowOff>38100</xdr:rowOff>
    </xdr:from>
    <xdr:ext cx="7353300" cy="3790950"/>
    <xdr:pic>
      <xdr:nvPicPr>
        <xdr:cNvPr id="2" name="image5.jp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21</xdr:col>
      <xdr:colOff>47625</xdr:colOff>
      <xdr:row>0</xdr:row>
      <xdr:rowOff>19050</xdr:rowOff>
    </xdr:from>
    <xdr:ext cx="7353300" cy="4219575"/>
    <xdr:pic>
      <xdr:nvPicPr>
        <xdr:cNvPr id="2" name="image6.jp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11875</xdr:colOff>
      <xdr:row>0</xdr:row>
      <xdr:rowOff>0</xdr:rowOff>
    </xdr:from>
    <xdr:to>
      <xdr:col>39</xdr:col>
      <xdr:colOff>295640</xdr:colOff>
      <xdr:row>19</xdr:row>
      <xdr:rowOff>97684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9FD4FDC6-003E-1942-A982-2978C774C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81121" y="0"/>
          <a:ext cx="9427765" cy="3933414"/>
        </a:xfrm>
        <a:prstGeom prst="rect">
          <a:avLst/>
        </a:prstGeom>
      </xdr:spPr>
    </xdr:pic>
    <xdr:clientData/>
  </xdr:twoCellAnchor>
  <xdr:twoCellAnchor editAs="oneCell">
    <xdr:from>
      <xdr:col>23</xdr:col>
      <xdr:colOff>369277</xdr:colOff>
      <xdr:row>20</xdr:row>
      <xdr:rowOff>58615</xdr:rowOff>
    </xdr:from>
    <xdr:to>
      <xdr:col>29</xdr:col>
      <xdr:colOff>606905</xdr:colOff>
      <xdr:row>31</xdr:row>
      <xdr:rowOff>52754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D7EB63BF-3AC0-CF43-B780-FBB024EA6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18724" y="4044462"/>
          <a:ext cx="3895228" cy="218635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323556</xdr:colOff>
      <xdr:row>0</xdr:row>
      <xdr:rowOff>0</xdr:rowOff>
    </xdr:from>
    <xdr:to>
      <xdr:col>36</xdr:col>
      <xdr:colOff>422031</xdr:colOff>
      <xdr:row>22</xdr:row>
      <xdr:rowOff>174406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45861975-D555-B341-AD43-9A8817C654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98" r="3170"/>
        <a:stretch/>
      </xdr:blipFill>
      <xdr:spPr>
        <a:xfrm>
          <a:off x="19406380" y="0"/>
          <a:ext cx="8053755" cy="4662000"/>
        </a:xfrm>
        <a:prstGeom prst="rect">
          <a:avLst/>
        </a:prstGeom>
      </xdr:spPr>
    </xdr:pic>
    <xdr:clientData/>
  </xdr:twoCellAnchor>
  <xdr:twoCellAnchor editAs="oneCell">
    <xdr:from>
      <xdr:col>23</xdr:col>
      <xdr:colOff>154746</xdr:colOff>
      <xdr:row>23</xdr:row>
      <xdr:rowOff>84406</xdr:rowOff>
    </xdr:from>
    <xdr:to>
      <xdr:col>29</xdr:col>
      <xdr:colOff>295423</xdr:colOff>
      <xdr:row>34</xdr:row>
      <xdr:rowOff>42856</xdr:rowOff>
    </xdr:to>
    <xdr:pic>
      <xdr:nvPicPr>
        <xdr:cNvPr id="3" name="Obrázek 2">
          <a:extLst>
            <a:ext uri="{FF2B5EF4-FFF2-40B4-BE49-F238E27FC236}">
              <a16:creationId xmlns:a16="http://schemas.microsoft.com/office/drawing/2014/main" id="{E8BA253C-985A-2F4F-BE2B-F3E8BDE7A7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69" t="3955" r="13122"/>
        <a:stretch/>
      </xdr:blipFill>
      <xdr:spPr>
        <a:xfrm>
          <a:off x="19237570" y="4775982"/>
          <a:ext cx="3812345" cy="220224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404255</xdr:colOff>
      <xdr:row>0</xdr:row>
      <xdr:rowOff>0</xdr:rowOff>
    </xdr:from>
    <xdr:to>
      <xdr:col>33</xdr:col>
      <xdr:colOff>554676</xdr:colOff>
      <xdr:row>21</xdr:row>
      <xdr:rowOff>189260</xdr:rowOff>
    </xdr:to>
    <xdr:pic>
      <xdr:nvPicPr>
        <xdr:cNvPr id="4" name="Obrázek 3">
          <a:extLst>
            <a:ext uri="{FF2B5EF4-FFF2-40B4-BE49-F238E27FC236}">
              <a16:creationId xmlns:a16="http://schemas.microsoft.com/office/drawing/2014/main" id="{CBB9C12D-09D5-6142-A5D6-F0C8C254F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93495" y="0"/>
          <a:ext cx="4421085" cy="439757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134586</xdr:colOff>
      <xdr:row>0</xdr:row>
      <xdr:rowOff>0</xdr:rowOff>
    </xdr:from>
    <xdr:to>
      <xdr:col>32</xdr:col>
      <xdr:colOff>91836</xdr:colOff>
      <xdr:row>23</xdr:row>
      <xdr:rowOff>195669</xdr:rowOff>
    </xdr:to>
    <xdr:pic>
      <xdr:nvPicPr>
        <xdr:cNvPr id="5" name="Obrázek 4">
          <a:extLst>
            <a:ext uri="{FF2B5EF4-FFF2-40B4-BE49-F238E27FC236}">
              <a16:creationId xmlns:a16="http://schemas.microsoft.com/office/drawing/2014/main" id="{291C3085-33F9-6745-BD08-036FB5BAD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36790" y="0"/>
          <a:ext cx="4834050" cy="4747877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Cowley Čáp" id="{D31DA892-7C5B-8048-8BF5-94CD455657C9}" userId="6b303df9c3cffa3a" providerId="Windows Live"/>
</personList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550E8309-AE0A-0946-8BBF-A4EB1435B5A5}" name="Tabulka41428" displayName="Tabulka41428" ref="A1:T35" totalsRowShown="0" headerRowDxfId="2093" dataDxfId="2091" headerRowBorderDxfId="2092" tableBorderDxfId="2090" totalsRowBorderDxfId="2089">
  <autoFilter ref="A1:T35" xr:uid="{76D3A18D-D239-3D4A-867D-F6B5D46C7FBE}"/>
  <tableColumns count="20">
    <tableColumn id="1" xr3:uid="{46111B8F-7FE7-CC4C-9155-8D75F3221F0A}" name=" DATUM" dataDxfId="2088"/>
    <tableColumn id="2" xr3:uid="{9B998CCB-6801-BA43-AFE6-48165A4CAB27}" name="DEN" dataDxfId="2087">
      <calculatedColumnFormula>CHOOSE(WEEKDAY(U2),"Po","Út","St","Čt","Pá","So","Ne")</calculatedColumnFormula>
    </tableColumn>
    <tableColumn id="3" xr3:uid="{B4FCBBED-01FB-3845-B559-8E9D7E598054}" name="HOD" dataDxfId="2086">
      <calculatedColumnFormula>Tabulka41428[[#This Row],[DO]]-Tabulka41428[[#This Row],[OD]]</calculatedColumnFormula>
    </tableColumn>
    <tableColumn id="4" xr3:uid="{29CFE34C-9B47-C54A-AB8B-AC3626DCE54B}" name="CEL" dataDxfId="2085">
      <calculatedColumnFormula>M2*C2</calculatedColumnFormula>
    </tableColumn>
    <tableColumn id="20" xr3:uid="{9875DDA8-28BB-AD4A-8CA8-470DBF27430A}" name="OD" dataDxfId="2084"/>
    <tableColumn id="5" xr3:uid="{5E52A086-7AD9-DC45-A2EB-50E469213CD4}" name="DO" dataDxfId="2083"/>
    <tableColumn id="6" xr3:uid="{D320BD14-2D4D-4948-BCC8-4F1C94C48517}" name="MĚSTO" dataDxfId="2082"/>
    <tableColumn id="7" xr3:uid="{6946EDCC-B99A-C74B-A82A-A9EDF46A801E}" name="FIRMA" dataDxfId="2081"/>
    <tableColumn id="8" xr3:uid="{E5583A48-AAD8-424C-A23F-667E4696D20D}" name="STÁT" dataDxfId="2080"/>
    <tableColumn id="9" xr3:uid="{605A5840-479C-0A4F-9F9F-EBF0DFBB7FB7}" name="SUPERVISOR" dataDxfId="2079"/>
    <tableColumn id="10" xr3:uid="{897167C3-FD24-704F-AF7F-5ECCC28FDF27}" name="FIRMA2" dataDxfId="2078"/>
    <tableColumn id="11" xr3:uid="{E9D41E07-B4B6-5F49-A66B-845724063540}" name="AUTO" dataDxfId="2077"/>
    <tableColumn id="12" xr3:uid="{DB6DC470-3F34-534F-8201-033605E1F308}" name="OSOB" dataDxfId="2076"/>
    <tableColumn id="13" xr3:uid="{FD9B5516-CF0C-A84C-9776-5BF295391E9B}" name="CELKEM HODIN" dataDxfId="2075"/>
    <tableColumn id="14" xr3:uid="{2660B0E6-2A5A-2D4E-A580-B8A99E0572F2}" name="Výplatní páska" dataDxfId="2074"/>
    <tableColumn id="15" xr3:uid="{0573DF84-4E89-6449-ABF6-5E8F88C922A6}" name="POSLÁNO NA ÚČET" dataDxfId="2073"/>
    <tableColumn id="16" xr3:uid="{AA710C3B-E38D-EB4F-B291-AE6F580763A3}" name="ÚČET " dataDxfId="2072"/>
    <tableColumn id="17" xr3:uid="{1486A761-465A-A84A-AA9D-A10453C86208}" name="MĚSÍC" dataDxfId="2071"/>
    <tableColumn id="18" xr3:uid="{7BCB32E4-4BAD-3446-A684-AFD2F41253EA}" name="DATUM" dataDxfId="2070"/>
    <tableColumn id="19" xr3:uid="{9AAA74B5-5B11-B842-9988-1AC2EADB2FF6}" name="Mrazák" dataDxfId="2069"/>
  </tableColumns>
  <tableStyleInfo name="TableStyleDark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AC563B84-8A1A-4345-919E-F3501A125B64}" name="Tabulka4142567962425222928" displayName="Tabulka4142567962425222928" ref="A1:U35" totalsRowShown="0" headerRowDxfId="1841" dataDxfId="1839" headerRowBorderDxfId="1840" tableBorderDxfId="1838" totalsRowBorderDxfId="1837">
  <autoFilter ref="A1:U35" xr:uid="{76D3A18D-D239-3D4A-867D-F6B5D46C7FBE}"/>
  <tableColumns count="21">
    <tableColumn id="1" xr3:uid="{A6BD5059-6A81-C743-9681-C0A13859A1D6}" name=" DATUM" dataDxfId="1836"/>
    <tableColumn id="2" xr3:uid="{0CA2CDF6-0D9A-E944-A0F1-AB0A026B1DE0}" name="DEN" dataDxfId="1835">
      <calculatedColumnFormula>CHOOSE(WEEKDAY(V2),"Po","Út","St","Čt","Pá","So","Ne")</calculatedColumnFormula>
    </tableColumn>
    <tableColumn id="3" xr3:uid="{918169A7-FC07-4E4D-85A8-032B9EFB41DE}" name="HOD" dataDxfId="1834">
      <calculatedColumnFormula>G2-E2-F2</calculatedColumnFormula>
    </tableColumn>
    <tableColumn id="4" xr3:uid="{A9E866FA-CEAF-5E4E-BEFD-03D92C19E443}" name="CEL" dataDxfId="1833">
      <calculatedColumnFormula>(N2*C2)*24</calculatedColumnFormula>
    </tableColumn>
    <tableColumn id="20" xr3:uid="{7D9705EA-D49C-7548-A481-B441DE3581A3}" name="OD" dataDxfId="1832"/>
    <tableColumn id="21" xr3:uid="{FD85FE8A-B507-414E-A99D-ED8F9E24B219}" name="Obĕd" dataDxfId="1831">
      <calculatedColumnFormula>TIME(0,30,0)</calculatedColumnFormula>
    </tableColumn>
    <tableColumn id="5" xr3:uid="{E0185442-DFFA-864F-B102-4A521D13D698}" name="DO" dataDxfId="1830"/>
    <tableColumn id="6" xr3:uid="{A1CEB863-F2F4-FF4A-9CEE-8494464B73AB}" name="MĚSTO" dataDxfId="1829"/>
    <tableColumn id="7" xr3:uid="{6F02D5B9-B88A-2E49-9A61-F681334EBDDD}" name="FIRMA" dataDxfId="1828"/>
    <tableColumn id="8" xr3:uid="{F6A1ED8E-B5D8-9041-A01C-1800C5A0A712}" name="STÁT" dataDxfId="1827"/>
    <tableColumn id="9" xr3:uid="{79D16783-0E40-1644-8E78-17B3D541E431}" name="SUPERVISOR" dataDxfId="1826"/>
    <tableColumn id="10" xr3:uid="{72B8FD67-212E-0A4E-BDA6-1C1B4DE995C7}" name="FIRMA2" dataDxfId="1825"/>
    <tableColumn id="11" xr3:uid="{8EF5D037-D8EE-BC4D-8FB1-13372EE23CDB}" name="AUTO" dataDxfId="1824"/>
    <tableColumn id="12" xr3:uid="{CD101CC1-5570-BC45-B19D-7673F23DB2DD}" name="OSOB" dataDxfId="1823"/>
    <tableColumn id="13" xr3:uid="{FB91E132-7070-564A-8649-169AE32B56BB}" name="CELKEM HODIN" dataDxfId="1822"/>
    <tableColumn id="14" xr3:uid="{4BDAD293-71B9-F246-937D-253D2475620D}" name="Výplatní páska" dataDxfId="1821"/>
    <tableColumn id="15" xr3:uid="{43723610-62FE-C44C-9C9F-CE2AD0F7ADDC}" name="POSLÁNO NA ÚČET" dataDxfId="1820"/>
    <tableColumn id="16" xr3:uid="{1842AF78-C6F3-FB48-9B2B-F7509ED33728}" name="ÚČET " dataDxfId="1819"/>
    <tableColumn id="17" xr3:uid="{12B3570E-E620-A64C-9002-67F07541E37E}" name="MĚSÍC" dataDxfId="1818"/>
    <tableColumn id="18" xr3:uid="{9A89BEF3-CECD-E64B-AE22-9C696705EEE3}" name="DATUM" dataDxfId="1817"/>
    <tableColumn id="19" xr3:uid="{879BFCDE-DD83-EC47-ADA4-BAD3BF4DD2CE}" name="Mrazák" dataDxfId="1816"/>
  </tableColumns>
  <tableStyleInfo name="TableStyleDark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1" xr:uid="{BF52B7FD-9206-404E-BC29-DC119A362478}" name="Tabulka12153510111823262732" displayName="Tabulka12153510111823262732" ref="A2:AG33" totalsRowShown="0" headerRowDxfId="1815" dataDxfId="1814" tableBorderDxfId="1813">
  <autoFilter ref="A2:AG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2C650DC9-8394-1F4C-8A77-FE8EB531C4C3}" name="Kartou" dataDxfId="1812"/>
    <tableColumn id="2" xr3:uid="{3BBC7AE1-D548-6346-896A-5E5E552E37E9}" name="Datum" dataDxfId="1811"/>
    <tableColumn id="3" xr3:uid="{38DCE0A7-2266-E841-BD2A-589CBF2763DF}" name="Hotově" dataDxfId="1810"/>
    <tableColumn id="4" xr3:uid="{2BF148E4-13B3-4647-812A-60F34341AEAF}" name="Kartou " dataDxfId="1809"/>
    <tableColumn id="5" xr3:uid="{A30EA081-10FA-1E45-B815-761A7902C875}" name="Datum " dataDxfId="1808"/>
    <tableColumn id="6" xr3:uid="{3C5B69C2-C55D-A745-A762-177D056F37FC}" name="Hotově " dataDxfId="1807"/>
    <tableColumn id="7" xr3:uid="{34FFAC78-3947-334E-BAA3-A50247D61ED3}" name="Hotově  " dataDxfId="1806"/>
    <tableColumn id="8" xr3:uid="{214C3E88-6B1B-8246-A971-2F92F61DC371}" name="Kartou  " dataDxfId="1805"/>
    <tableColumn id="9" xr3:uid="{22D9A7EB-9B8F-5244-BCFC-4A917997421B}" name="Hotově   " dataDxfId="1804"/>
    <tableColumn id="10" xr3:uid="{5F74E77D-1C80-FC44-88B7-E1EED13866D3}" name="Datum   " dataDxfId="1803"/>
    <tableColumn id="11" xr3:uid="{26F0AD37-A4CB-6E4E-A853-DFEE3717DAA8}" name="Kartou   " dataDxfId="1802"/>
    <tableColumn id="12" xr3:uid="{6E072CB7-3C19-4E40-9972-759576DA09FC}" name="CZE" dataDxfId="1801"/>
    <tableColumn id="13" xr3:uid="{040DA46B-3BDE-F649-B206-29052732303D}" name="POPIS" dataDxfId="1800"/>
    <tableColumn id="14" xr3:uid="{66C661E3-2155-334F-8CB1-DE63B68DDC8E}" name="EURO" dataDxfId="1799"/>
    <tableColumn id="15" xr3:uid="{E8C8EBB6-25B7-3E40-8925-3519AEBDB32C}" name="EURO " dataDxfId="1798">
      <calculatedColumnFormula>AG35-AK6-AI3</calculatedColumnFormula>
    </tableColumn>
    <tableColumn id="16" xr3:uid="{73F971A6-98BD-6B4F-87C2-5E79DC7C98D3}" name="CZE " dataDxfId="1797"/>
    <tableColumn id="17" xr3:uid="{17DF3053-FDD7-7E45-BF19-B75C420A3CD1}" name="Ondra" dataDxfId="1796"/>
    <tableColumn id="18" xr3:uid="{B923D3EB-6BD3-904C-AC26-12A09CF990DE}" name=" Datum" dataDxfId="1795"/>
    <tableColumn id="19" xr3:uid="{BD80E75D-0AA2-4642-9807-154222E3B917}" name="Zoulič" dataDxfId="1794"/>
    <tableColumn id="20" xr3:uid="{073B76CB-9A60-9D4A-A426-8577AB368F2C}" name="  Datum" dataDxfId="1793"/>
    <tableColumn id="21" xr3:uid="{3B1DA92B-7498-C04E-9916-8470FDB4ECC2}" name="Řeháček" dataDxfId="1792"/>
    <tableColumn id="22" xr3:uid="{DD680D53-B771-114B-805A-B26C6468011B}" name=" Datum " dataDxfId="1791"/>
    <tableColumn id="35" xr3:uid="{98F8DE4E-E658-0949-B1D2-8A4FC9649778}" name="Jícha" dataDxfId="1790"/>
    <tableColumn id="36" xr3:uid="{AEDE10D8-54A3-7D46-A774-5740757C76DB}" name=" Datum  " dataDxfId="1789"/>
    <tableColumn id="33" xr3:uid="{A32C31A6-0BA2-3344-8C22-31CCB646BF53}" name="Beran" dataDxfId="1788"/>
    <tableColumn id="34" xr3:uid="{E9406984-55CA-0A4E-AA93-11ECD858B9C6}" name="  Datum  " dataDxfId="1787"/>
    <tableColumn id="23" xr3:uid="{23EDE89D-0C99-1446-A596-F5229DBA665E}" name="Chrastina" dataDxfId="1786"/>
    <tableColumn id="24" xr3:uid="{2133179A-F5C9-B74F-A129-4DFB69471C51}" name="  Datum " dataDxfId="1785"/>
    <tableColumn id="25" xr3:uid="{AD90EB79-6665-BD47-B1A1-FFE8B530DC3A}" name="Bečka" dataDxfId="1784"/>
    <tableColumn id="26" xr3:uid="{9B711B86-B3E5-9542-AA2D-B6FE4E55B5EB}" name="  Datum   " dataDxfId="1783"/>
    <tableColumn id="27" xr3:uid="{42B156DA-A92A-4C42-B357-5FB48DCB2DE7}" name="CZE," dataDxfId="1782"/>
    <tableColumn id="28" xr3:uid="{3D22B2F3-4521-D741-B86D-7642390FA945}" name="   DATUM " dataDxfId="1781"/>
    <tableColumn id="29" xr3:uid="{8D546F91-0C21-B441-A238-365D2975A67E}" name="EURO," dataDxfId="1780"/>
  </tableColumns>
  <tableStyleInfo name="TableStyleDark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CF6576FA-D44E-FD47-9841-A17D5FD9F66B}" name="Tabulka414256796242522292831" displayName="Tabulka414256796242522292831" ref="A1:U35" totalsRowShown="0" headerRowDxfId="1779" dataDxfId="1777" headerRowBorderDxfId="1778" tableBorderDxfId="1776" totalsRowBorderDxfId="1775">
  <autoFilter ref="A1:U35" xr:uid="{76D3A18D-D239-3D4A-867D-F6B5D46C7FBE}"/>
  <tableColumns count="21">
    <tableColumn id="1" xr3:uid="{26BEF5EB-5095-F040-AC41-C05548A9AEBE}" name=" DATUM" dataDxfId="1774"/>
    <tableColumn id="2" xr3:uid="{845896BD-20E6-444F-9AFB-FFD3893B15D1}" name="DEN" dataDxfId="1773">
      <calculatedColumnFormula>CHOOSE(WEEKDAY(V2),"Po","Út","St","Čt","Pá","So","Ne")</calculatedColumnFormula>
    </tableColumn>
    <tableColumn id="3" xr3:uid="{DDC6A14C-D4C5-4641-B153-2A70953C6904}" name="HOD" dataDxfId="1772">
      <calculatedColumnFormula>G2-E2-F2</calculatedColumnFormula>
    </tableColumn>
    <tableColumn id="4" xr3:uid="{22C6D988-06E4-C84E-8E77-01AF469C2325}" name="CEL" dataDxfId="1771">
      <calculatedColumnFormula>(N2*C2)*24</calculatedColumnFormula>
    </tableColumn>
    <tableColumn id="20" xr3:uid="{01492989-A5FA-1148-B9CE-89751BF2DCCB}" name="OD" dataDxfId="1770"/>
    <tableColumn id="21" xr3:uid="{8C4F5C8A-21BA-DB42-ACA3-434BA5DC5D4E}" name="Obĕd" dataDxfId="1769">
      <calculatedColumnFormula>TIME(0,30,0)</calculatedColumnFormula>
    </tableColumn>
    <tableColumn id="5" xr3:uid="{3245ABBD-B655-4941-AF54-35DAAD111FE6}" name="DO" dataDxfId="1768"/>
    <tableColumn id="6" xr3:uid="{F02BC950-57B7-2846-B965-47BF8220853F}" name="MĚSTO" dataDxfId="1767"/>
    <tableColumn id="7" xr3:uid="{1805147C-65D4-9A48-985E-A32804F51027}" name="FIRMA" dataDxfId="1766"/>
    <tableColumn id="8" xr3:uid="{2D47B5E7-AE30-2B40-80D7-F4A3BBF72A24}" name="STÁT" dataDxfId="1765"/>
    <tableColumn id="9" xr3:uid="{551684F9-1316-844F-82AC-AF153AE7430F}" name="SUPERVISOR" dataDxfId="1764"/>
    <tableColumn id="10" xr3:uid="{1F71F725-A8B2-464B-9323-CAB4CA5E36E4}" name="FIRMA2" dataDxfId="1763"/>
    <tableColumn id="11" xr3:uid="{E901FC40-6B3A-E042-B460-034680CC6D34}" name="AUTO" dataDxfId="1762"/>
    <tableColumn id="12" xr3:uid="{291002C5-359E-9841-B62E-8047FA1C34C3}" name="OSOB" dataDxfId="1761"/>
    <tableColumn id="13" xr3:uid="{E8D73A43-9BC4-5B43-B1CC-E3316F21F3E5}" name="CELKEM HODIN" dataDxfId="1760"/>
    <tableColumn id="14" xr3:uid="{C5EF36F0-9BF7-8E4C-ACBD-A643BADABA0C}" name="Výplatní páska" dataDxfId="1759"/>
    <tableColumn id="15" xr3:uid="{E87DD2FE-A8A1-5F4A-8F55-EA7620263DA9}" name="POSLÁNO NA ÚČET" dataDxfId="1758"/>
    <tableColumn id="16" xr3:uid="{429D5F0A-42D9-BE46-A24F-8FDEAF85C106}" name="ÚČET " dataDxfId="1757"/>
    <tableColumn id="17" xr3:uid="{2B078C45-09E3-514A-BA2C-5F905C373179}" name="MĚSÍC" dataDxfId="1756"/>
    <tableColumn id="18" xr3:uid="{91F52647-4E33-8A44-BD35-3F1BB5C32D50}" name="DATUM" dataDxfId="1755"/>
    <tableColumn id="19" xr3:uid="{BFF3F613-E37A-0C4C-99B7-8866D835B52B}" name="Mrazák" dataDxfId="1754"/>
  </tableColumns>
  <tableStyleInfo name="TableStyleDark2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2" xr:uid="{F5ADFC58-57A8-5342-86F9-325A854D7AA1}" name="Tabulka41425679624252229283133" displayName="Tabulka41425679624252229283133" ref="A1:U35" totalsRowShown="0" headerRowDxfId="1753" dataDxfId="1751" headerRowBorderDxfId="1752" tableBorderDxfId="1750" totalsRowBorderDxfId="1749">
  <autoFilter ref="A1:U35" xr:uid="{76D3A18D-D239-3D4A-867D-F6B5D46C7FBE}"/>
  <tableColumns count="21">
    <tableColumn id="1" xr3:uid="{C850E838-9C14-8141-9173-F30182F13FA0}" name=" DATUM" dataDxfId="1748"/>
    <tableColumn id="2" xr3:uid="{1875C51B-B8CF-0845-84F3-A13B41BB9F53}" name="DEN" dataDxfId="1747">
      <calculatedColumnFormula>CHOOSE(WEEKDAY(V2),"Po","Út","St","Čt","Pá","So","Ne")</calculatedColumnFormula>
    </tableColumn>
    <tableColumn id="3" xr3:uid="{8497E843-DFF7-2842-97E0-DCDECDB56DE8}" name="HOD" dataDxfId="1746">
      <calculatedColumnFormula>G2-E2-F2</calculatedColumnFormula>
    </tableColumn>
    <tableColumn id="4" xr3:uid="{3D71C1AD-8A16-534F-9F42-829609BD8386}" name="CEL" dataDxfId="1745">
      <calculatedColumnFormula>(N2*C2)*24</calculatedColumnFormula>
    </tableColumn>
    <tableColumn id="20" xr3:uid="{651E5DC7-79F6-9544-91B6-9D8D87666A37}" name="OD" dataDxfId="1744"/>
    <tableColumn id="21" xr3:uid="{8A0C15FF-E10E-8542-A663-27694D5CBD6A}" name="Obĕd" dataDxfId="1743">
      <calculatedColumnFormula>TIME(1,0,0)</calculatedColumnFormula>
    </tableColumn>
    <tableColumn id="5" xr3:uid="{EBF32EC6-3EE3-C34C-8F4A-7218229A793D}" name="DO" dataDxfId="1742"/>
    <tableColumn id="6" xr3:uid="{3CD2C85B-98BA-A14B-8F46-DADFF4CEBE69}" name="MĚSTO" dataDxfId="1741"/>
    <tableColumn id="7" xr3:uid="{D398DB66-1EE5-B047-9645-B5BB71E30F65}" name="FIRMA" dataDxfId="1740"/>
    <tableColumn id="8" xr3:uid="{D2B38A3D-1972-5D40-B769-F72D413C14A5}" name="STÁT" dataDxfId="1739"/>
    <tableColumn id="9" xr3:uid="{FCFA54BC-60BD-294B-B585-9062F0E8E8B7}" name="SUPERVISOR" dataDxfId="1738"/>
    <tableColumn id="10" xr3:uid="{F394FD23-236B-BB4E-AB4A-9C7D429CE7A1}" name="FIRMA2" dataDxfId="1737"/>
    <tableColumn id="11" xr3:uid="{E235A159-86DB-0745-9BEC-9384D9FF4D6B}" name="AUTO" dataDxfId="1736"/>
    <tableColumn id="12" xr3:uid="{C36134BD-E2CC-6A44-8AC0-DD5063382530}" name="OSOB" dataDxfId="1735"/>
    <tableColumn id="13" xr3:uid="{8E2BAD19-B03F-E346-A61F-31FFB93DE7E6}" name="CELKEM HODIN" dataDxfId="1734"/>
    <tableColumn id="14" xr3:uid="{21D35AFC-2D61-F043-8268-E2D2E051E50A}" name="Výplatní páska" dataDxfId="1733"/>
    <tableColumn id="15" xr3:uid="{5CEBC83C-2446-CD48-B02B-43072A1A9A9D}" name="POSLÁNO NA ÚČET" dataDxfId="1732"/>
    <tableColumn id="16" xr3:uid="{037F96A6-9D28-E746-B516-55AA61D53DDA}" name="ÚČET " dataDxfId="1731"/>
    <tableColumn id="17" xr3:uid="{5AFC3098-D420-AC45-8B16-1C4F6D599DA3}" name="MĚSÍC" dataDxfId="1730"/>
    <tableColumn id="18" xr3:uid="{E5D98284-3E97-2242-90EE-E785C33084D0}" name="DATUM" dataDxfId="1729"/>
    <tableColumn id="19" xr3:uid="{94EEDBF1-81BC-5C49-AA2C-E3B46B93469D}" name="Mrazák" dataDxfId="1728"/>
  </tableColumns>
  <tableStyleInfo name="TableStyleDark2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7F12E75D-FCE2-4140-B887-36C18382B267}" name="Tabulka41425679624252229283133366" displayName="Tabulka41425679624252229283133366" ref="A1:U35" totalsRowShown="0" headerRowDxfId="1727" dataDxfId="1725" headerRowBorderDxfId="1726" tableBorderDxfId="1724" totalsRowBorderDxfId="1723">
  <autoFilter ref="A1:U35" xr:uid="{76D3A18D-D239-3D4A-867D-F6B5D46C7FBE}"/>
  <tableColumns count="21">
    <tableColumn id="1" xr3:uid="{40A2BE4E-D3B8-C941-9FFE-CA2070749657}" name=" DATUM" dataDxfId="1722"/>
    <tableColumn id="2" xr3:uid="{DCEA092F-9957-FD4C-9EDB-86B73F8239AA}" name="DEN" dataDxfId="1721">
      <calculatedColumnFormula>CHOOSE(WEEKDAY(V2),"Po","Út","St","Čt","Pá","So","Ne")</calculatedColumnFormula>
    </tableColumn>
    <tableColumn id="3" xr3:uid="{032FBC7C-7ADD-9344-AA05-F6AF16E0AAF4}" name="HOD" dataDxfId="1720">
      <calculatedColumnFormula>G2-E2-F2</calculatedColumnFormula>
    </tableColumn>
    <tableColumn id="4" xr3:uid="{747EF6DC-37B7-CA43-964F-28A2E753A90D}" name="CEL" dataDxfId="1719">
      <calculatedColumnFormula>(N2*C2)*24</calculatedColumnFormula>
    </tableColumn>
    <tableColumn id="20" xr3:uid="{931F65D7-3A83-4A46-870D-26ED20CF8B02}" name="OD" dataDxfId="1718"/>
    <tableColumn id="21" xr3:uid="{55473C7B-EFB2-D449-9D2D-7959B493DD5F}" name="Obĕd" dataDxfId="1717">
      <calculatedColumnFormula>TIME(0,30,0)</calculatedColumnFormula>
    </tableColumn>
    <tableColumn id="5" xr3:uid="{DF048FC2-4D63-6649-85B7-BCC5440CF712}" name="DO" dataDxfId="1716"/>
    <tableColumn id="6" xr3:uid="{BE7A1FE2-D535-EA47-9F2B-4BA2D61B1EAB}" name="MĚSTO" dataDxfId="1715"/>
    <tableColumn id="7" xr3:uid="{C9D08A91-7677-8C40-8437-923AA4B18B6B}" name="FIRMA" dataDxfId="1714"/>
    <tableColumn id="8" xr3:uid="{5E779D70-DF78-BD4C-AA24-08B2E9451D0B}" name="STÁT" dataDxfId="1713"/>
    <tableColumn id="9" xr3:uid="{4AB57FF2-E72B-A04E-993B-2245509F7949}" name="SUPERVISOR" dataDxfId="1712"/>
    <tableColumn id="10" xr3:uid="{FCA7365B-640D-0D4A-97A5-0CB0A9B2D42F}" name="FIRMA2" dataDxfId="1711"/>
    <tableColumn id="11" xr3:uid="{9D238731-749C-8E45-B122-4FFEBB606514}" name="AUTO" dataDxfId="1710"/>
    <tableColumn id="12" xr3:uid="{2D9D78FB-D2E6-D849-8E0A-336ED91515AE}" name="OSOB" dataDxfId="1709"/>
    <tableColumn id="13" xr3:uid="{BCFD9F94-0AD4-6146-853C-57883CE362D1}" name="CELKEM HODIN" dataDxfId="1708"/>
    <tableColumn id="14" xr3:uid="{7D74527B-EDE1-E24C-831E-2AFCAB70D5F4}" name="Výplatní páska" dataDxfId="1707"/>
    <tableColumn id="15" xr3:uid="{FD4A764B-A5D3-C547-BD25-98F3634BACB4}" name="POSLÁNO NA ÚČET" dataDxfId="1706"/>
    <tableColumn id="16" xr3:uid="{A877F005-026E-6E41-9F79-BB73827D4570}" name="ÚČET " dataDxfId="1705"/>
    <tableColumn id="17" xr3:uid="{DD4CF1BE-88AF-D24C-B925-71AD94E4B54A}" name="MĚSÍC" dataDxfId="1704"/>
    <tableColumn id="18" xr3:uid="{1E7E730E-4960-9B45-A3FC-CDADC07F851C}" name="DATUM" dataDxfId="1703"/>
    <tableColumn id="19" xr3:uid="{C8EC2920-D973-3F4E-9FB4-5E6D1915E3CE}" name="Mrazák" dataDxfId="1702"/>
  </tableColumns>
  <tableStyleInfo name="TableStyleDark2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6" xr:uid="{08755279-7B17-0C49-976F-51049348EF11}" name="Tabulka414256796242522292831333637" displayName="Tabulka414256796242522292831333637" ref="A1:U35" totalsRowShown="0" headerRowDxfId="1701" dataDxfId="1699" headerRowBorderDxfId="1700" tableBorderDxfId="1698" totalsRowBorderDxfId="1697">
  <autoFilter ref="A1:U35" xr:uid="{76D3A18D-D239-3D4A-867D-F6B5D46C7FBE}"/>
  <tableColumns count="21">
    <tableColumn id="1" xr3:uid="{E86CAD5A-3325-D048-A7A9-2F91F8A42DC7}" name=" DATUM" dataDxfId="1696"/>
    <tableColumn id="2" xr3:uid="{EF130D1D-CD28-8D44-B72C-8A3854C8BA04}" name="DEN" dataDxfId="1695">
      <calculatedColumnFormula>CHOOSE(WEEKDAY(V2),"Po","Út","St","Čt","Pá","So","Ne")</calculatedColumnFormula>
    </tableColumn>
    <tableColumn id="3" xr3:uid="{726120D0-F235-8845-BD6E-861478986F43}" name="HOD" dataDxfId="1694">
      <calculatedColumnFormula>G2-E2-F2</calculatedColumnFormula>
    </tableColumn>
    <tableColumn id="4" xr3:uid="{40FBF588-4E16-2643-9B72-1D23CBF5D1B7}" name="CEL" dataDxfId="1693">
      <calculatedColumnFormula>(N2*C2)*24</calculatedColumnFormula>
    </tableColumn>
    <tableColumn id="20" xr3:uid="{4038923B-124D-8B48-967E-56038F1D65E7}" name="OD" dataDxfId="1692"/>
    <tableColumn id="21" xr3:uid="{58AEEB8A-1DFF-DA41-B7DB-92F227F363AE}" name="Obĕd" dataDxfId="1691">
      <calculatedColumnFormula>TIME(0,30,0)</calculatedColumnFormula>
    </tableColumn>
    <tableColumn id="5" xr3:uid="{FD4A5865-FC33-AD43-9FF8-E6D0D38B0957}" name="DO" dataDxfId="1690"/>
    <tableColumn id="6" xr3:uid="{D3639A0A-32B3-424C-8402-9133AC13A5DD}" name="MĚSTO" dataDxfId="1689"/>
    <tableColumn id="7" xr3:uid="{ACEB8266-F7DE-BE4E-A772-6A620976A435}" name="FIRMA" dataDxfId="1688"/>
    <tableColumn id="8" xr3:uid="{048E1459-D07A-9B45-8B96-065D5203C41C}" name="STÁT" dataDxfId="1687"/>
    <tableColumn id="9" xr3:uid="{4041B942-BF11-8240-99E0-370184A92AE7}" name="SUPERVISOR" dataDxfId="1686"/>
    <tableColumn id="10" xr3:uid="{7D12645E-81F1-0D44-AEA8-34EAF484E271}" name="FIRMA2" dataDxfId="1685"/>
    <tableColumn id="11" xr3:uid="{B78A95B3-105D-6440-B068-67055E07ACF9}" name="AUTO" dataDxfId="1684"/>
    <tableColumn id="12" xr3:uid="{787E2FDA-FD91-2746-B92D-B21CF83581FD}" name="OSOB" dataDxfId="1683"/>
    <tableColumn id="13" xr3:uid="{CC3663CD-6A86-6F42-9024-B4ACACEF3CFA}" name="CELKEM HODIN" dataDxfId="1682"/>
    <tableColumn id="14" xr3:uid="{4C5D3645-CB4E-C245-8AC6-5F1E9446721A}" name="Výplatní páska" dataDxfId="1681"/>
    <tableColumn id="15" xr3:uid="{9AB46037-7EA9-0348-9FBF-65A36D64E5E2}" name="POSLÁNO NA ÚČET" dataDxfId="1680"/>
    <tableColumn id="16" xr3:uid="{7BB2D8B3-E4B7-4B4B-96CA-6CA32A33A84C}" name="ÚČET " dataDxfId="1679"/>
    <tableColumn id="17" xr3:uid="{7D2B9E66-7051-4143-9AF9-25162A32566D}" name="MĚSÍC" dataDxfId="1678"/>
    <tableColumn id="18" xr3:uid="{B9907681-5F04-F846-9C12-0A89754A1FF2}" name="DATUM" dataDxfId="1677"/>
    <tableColumn id="19" xr3:uid="{D17A9295-76D3-9240-944B-841CC49E5565}" name="Mrazák" dataDxfId="1676"/>
  </tableColumns>
  <tableStyleInfo name="TableStyleDark2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9" xr:uid="{B6E9879F-3DCB-AF45-B520-11CEB2750AAB}" name="Tabulka414256796242522292831333640" displayName="Tabulka414256796242522292831333640" ref="A1:U35" totalsRowShown="0" headerRowDxfId="1675" dataDxfId="1673" headerRowBorderDxfId="1674" tableBorderDxfId="1672" totalsRowBorderDxfId="1671">
  <autoFilter ref="A1:U35" xr:uid="{76D3A18D-D239-3D4A-867D-F6B5D46C7FBE}"/>
  <tableColumns count="21">
    <tableColumn id="1" xr3:uid="{2071E25C-F94E-1146-8D60-53F247C62F4B}" name=" DATUM" dataDxfId="1670"/>
    <tableColumn id="2" xr3:uid="{9CED1894-65B8-3648-9359-7C368D61D357}" name="DEN" dataDxfId="1669">
      <calculatedColumnFormula>CHOOSE(WEEKDAY(V2),"Po","Út","St","Čt","Pá","So","Ne")</calculatedColumnFormula>
    </tableColumn>
    <tableColumn id="3" xr3:uid="{88B7C027-F6A6-7C48-869B-F1FB61217F96}" name="HOD" dataDxfId="1668">
      <calculatedColumnFormula>G2-E2-F2</calculatedColumnFormula>
    </tableColumn>
    <tableColumn id="4" xr3:uid="{2F48C166-4668-5643-9679-F761E8E56570}" name="CEL" dataDxfId="1667">
      <calculatedColumnFormula>(N2*C2)*24</calculatedColumnFormula>
    </tableColumn>
    <tableColumn id="20" xr3:uid="{37790FB1-E1F5-B44C-A416-7652556B7F5F}" name="OD" dataDxfId="1666"/>
    <tableColumn id="21" xr3:uid="{1C38183C-2C9B-A549-8453-91B2F8A3E783}" name="Obĕd" dataDxfId="1665">
      <calculatedColumnFormula>TIME(0,30,0)</calculatedColumnFormula>
    </tableColumn>
    <tableColumn id="5" xr3:uid="{EAEB0C5F-0858-2245-91E8-BBC64196A998}" name="DO" dataDxfId="1664"/>
    <tableColumn id="6" xr3:uid="{A3280635-7E17-3B44-ABF2-0C58713381B5}" name="MĚSTO" dataDxfId="1663"/>
    <tableColumn id="7" xr3:uid="{0999E61D-39CF-6A41-A500-6F7FEBF66716}" name="FIRMA" dataDxfId="1662"/>
    <tableColumn id="8" xr3:uid="{D8C070B2-2587-D647-8DD2-5E033D21F7E1}" name="STÁT" dataDxfId="1661"/>
    <tableColumn id="9" xr3:uid="{3892E68F-B068-BD43-97EB-7B66CB43AC90}" name="SUPERVISOR" dataDxfId="1660"/>
    <tableColumn id="10" xr3:uid="{BE24B9FE-2FF9-1340-8E56-B2B64E501334}" name="FIRMA2" dataDxfId="1659"/>
    <tableColumn id="11" xr3:uid="{C30E5255-7439-5148-82A8-21BA576AD738}" name="AUTO" dataDxfId="1658"/>
    <tableColumn id="12" xr3:uid="{4721CEC8-E33E-574C-8F55-6635CA19E965}" name="OSOB" dataDxfId="1657"/>
    <tableColumn id="13" xr3:uid="{D3896EC2-1893-8649-9390-B7BC5DD64F75}" name="CELKEM HODIN" dataDxfId="1656"/>
    <tableColumn id="14" xr3:uid="{35874B2A-63BC-2D44-B2A2-D95C9B5D6EAC}" name="Výplatní páska" dataDxfId="1655"/>
    <tableColumn id="15" xr3:uid="{4F43E1C8-0D7D-9840-816E-3B6E54374E3B}" name="POSLÁNO NA ÚČET" dataDxfId="1654"/>
    <tableColumn id="16" xr3:uid="{5255FC59-8323-B842-B936-A4E2373A50A0}" name="ÚČET " dataDxfId="1653"/>
    <tableColumn id="17" xr3:uid="{E12D75EA-383A-E445-B871-27F8A9F7CA97}" name="MĚSÍC" dataDxfId="1652"/>
    <tableColumn id="18" xr3:uid="{674CD8D4-0192-644C-B434-FB0442E5615F}" name="DATUM" dataDxfId="1651"/>
    <tableColumn id="19" xr3:uid="{66847223-E980-D542-A43A-0A1BF3765F9D}" name="Mrazák" dataDxfId="1650"/>
  </tableColumns>
  <tableStyleInfo name="TableStyleDark2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0" xr:uid="{64C9FE35-2788-7647-BB00-51F077648868}" name="Tabulka414256796242522292831333641" displayName="Tabulka414256796242522292831333641" ref="A1:U39" totalsRowShown="0" headerRowDxfId="1649" dataDxfId="1647" headerRowBorderDxfId="1648" tableBorderDxfId="1646" totalsRowBorderDxfId="1645">
  <autoFilter ref="A1:U39" xr:uid="{76D3A18D-D239-3D4A-867D-F6B5D46C7FBE}"/>
  <tableColumns count="21">
    <tableColumn id="1" xr3:uid="{5092AF27-BF93-8448-8611-FBC141CEACCD}" name=" DATUM" dataDxfId="1644"/>
    <tableColumn id="2" xr3:uid="{3FBD2FE7-75C5-6042-B2EC-9FB152C08431}" name="DEN" dataDxfId="1643">
      <calculatedColumnFormula>CHOOSE(WEEKDAY(V2),"Po","Út","St","Čt","Pá","So","Ne")</calculatedColumnFormula>
    </tableColumn>
    <tableColumn id="3" xr3:uid="{B72ACEDD-A304-104C-B785-120ADB7648A4}" name="HOD" dataDxfId="1642">
      <calculatedColumnFormula>G2-E2-F2</calculatedColumnFormula>
    </tableColumn>
    <tableColumn id="4" xr3:uid="{4103D21C-6F46-5541-ADD2-DB81F704D0BB}" name="CEL" dataDxfId="1641">
      <calculatedColumnFormula>(N2*C2)*24</calculatedColumnFormula>
    </tableColumn>
    <tableColumn id="20" xr3:uid="{2AC5FE3E-65E7-9746-9D1A-F95A386C9294}" name="OD" dataDxfId="1640"/>
    <tableColumn id="21" xr3:uid="{A1451C73-5653-FA4A-964C-8768DB39598A}" name="Obĕd" dataDxfId="1639">
      <calculatedColumnFormula>TIME(0,30,0)</calculatedColumnFormula>
    </tableColumn>
    <tableColumn id="5" xr3:uid="{67EA3199-2E3B-A14C-B8EC-7504D057CB76}" name="DO" dataDxfId="1638"/>
    <tableColumn id="6" xr3:uid="{DECCEB58-B517-A44C-9E34-FAABE8520692}" name="MĚSTO" dataDxfId="1637"/>
    <tableColumn id="7" xr3:uid="{370F06B0-AE31-234F-B0C1-6C37DA045B58}" name="FIRMA" dataDxfId="1636"/>
    <tableColumn id="8" xr3:uid="{7F73C54B-4CEE-FC42-947C-1ECE490324B3}" name="STÁT" dataDxfId="1635"/>
    <tableColumn id="9" xr3:uid="{BFCEFDBE-2849-924D-A383-7D4F48F28B9E}" name="SUPERVISOR" dataDxfId="1634"/>
    <tableColumn id="10" xr3:uid="{F6F6E0FC-AB40-2A49-B003-B55F3F219500}" name="FIRMA2" dataDxfId="1633"/>
    <tableColumn id="11" xr3:uid="{64DAAF32-F45E-3042-9124-7FB2C86CB97B}" name="AUTO" dataDxfId="1632"/>
    <tableColumn id="12" xr3:uid="{789BDF35-8E61-6544-9B12-54155024CD12}" name="OSOB" dataDxfId="1631"/>
    <tableColumn id="13" xr3:uid="{CCE505E1-82D1-EE4C-A56C-37EA3EC33268}" name="CELKEM HODIN" dataDxfId="1630"/>
    <tableColumn id="14" xr3:uid="{2C60D9E9-3371-AF40-BEDE-A354BC54ABD0}" name="Výplatní páska" dataDxfId="1629"/>
    <tableColumn id="15" xr3:uid="{4267DE58-BF90-014D-B94E-CCFC015A1241}" name="POSLÁNO NA ÚČET" dataDxfId="1628"/>
    <tableColumn id="16" xr3:uid="{76CAB488-F84F-7B45-AA79-B6DC44D484D0}" name="ÚČET " dataDxfId="1627"/>
    <tableColumn id="17" xr3:uid="{FFC78D77-AAA4-084E-887F-0CE1716821CA}" name="MĚSÍC" dataDxfId="1626"/>
    <tableColumn id="18" xr3:uid="{6D7D3D80-623B-1944-B6EC-36AA6121A933}" name="DATUM" dataDxfId="1625"/>
    <tableColumn id="19" xr3:uid="{A09ED7FB-ED85-D946-BDEF-5B4326313B99}" name="Mrazák" dataDxfId="1624"/>
  </tableColumns>
  <tableStyleInfo name="TableStyleDark2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1" xr:uid="{C8136BD7-ED43-C945-B9DA-26C78E6DB120}" name="Tabulka414256796242522292831333642" displayName="Tabulka414256796242522292831333642" ref="A1:U35" totalsRowShown="0" headerRowDxfId="1623" dataDxfId="1621" headerRowBorderDxfId="1622" tableBorderDxfId="1620" totalsRowBorderDxfId="1619">
  <autoFilter ref="A1:U35" xr:uid="{76D3A18D-D239-3D4A-867D-F6B5D46C7FBE}"/>
  <tableColumns count="21">
    <tableColumn id="1" xr3:uid="{D5A9FB1F-AAE2-9E42-816C-229535441FD9}" name=" DATUM" dataDxfId="1618"/>
    <tableColumn id="2" xr3:uid="{C8C38A66-80AF-8149-B053-41C903B3BD29}" name="DEN" dataDxfId="1617">
      <calculatedColumnFormula>CHOOSE(WEEKDAY(V2),"Po","Út","St","Čt","Pá","So","Ne")</calculatedColumnFormula>
    </tableColumn>
    <tableColumn id="3" xr3:uid="{062B0FB0-6E5F-0747-9BBC-66C534CC9B1A}" name="HOD" dataDxfId="1616">
      <calculatedColumnFormula>G2-E2-F2</calculatedColumnFormula>
    </tableColumn>
    <tableColumn id="4" xr3:uid="{ABB562A1-3836-3942-953B-E74484DB3E93}" name="CEL" dataDxfId="1615">
      <calculatedColumnFormula>(N2*C2)*24</calculatedColumnFormula>
    </tableColumn>
    <tableColumn id="20" xr3:uid="{B0B068AC-69F5-0944-AD38-323825803FED}" name="OD" dataDxfId="1614"/>
    <tableColumn id="21" xr3:uid="{773A619A-5009-4C44-AAE5-F90C2967F8CD}" name="Obĕd" dataDxfId="1613">
      <calculatedColumnFormula>TIME(1,0,0)</calculatedColumnFormula>
    </tableColumn>
    <tableColumn id="5" xr3:uid="{2D98AF2B-CAB5-FD4F-BCA8-4A1C3902DEDD}" name="DO" dataDxfId="1612"/>
    <tableColumn id="6" xr3:uid="{4FC9A292-F1E6-CC47-8321-6F1DBBE9CCC8}" name="MĚSTO" dataDxfId="1611"/>
    <tableColumn id="7" xr3:uid="{B7AFE56D-DFA0-904E-9AC8-28884E0AE3B5}" name="FIRMA" dataDxfId="1610"/>
    <tableColumn id="8" xr3:uid="{721F6BC7-842C-FA4F-8A52-DA9674325E99}" name="STÁT" dataDxfId="1609"/>
    <tableColumn id="9" xr3:uid="{C4CE4341-8DE7-994B-9F19-FDEF64403756}" name="SUPERVISOR" dataDxfId="1608"/>
    <tableColumn id="10" xr3:uid="{612E0975-E087-7346-A6D9-7B2F930E793F}" name="FIRMA2" dataDxfId="1607"/>
    <tableColumn id="11" xr3:uid="{B189C99B-682D-7F4A-8956-CD97B04E0ADB}" name="AUTO" dataDxfId="1606"/>
    <tableColumn id="12" xr3:uid="{0FA029EC-4C45-2A41-A738-9C2413394F8F}" name="OSOB" dataDxfId="1605"/>
    <tableColumn id="13" xr3:uid="{CD963AFD-A0B4-0B4B-AA00-3FD5100F71EF}" name="CELKEM HODIN" dataDxfId="1604"/>
    <tableColumn id="14" xr3:uid="{6EE00206-5373-4B4B-AF8E-0CA240FED000}" name="Výplatní páska" dataDxfId="1603"/>
    <tableColumn id="15" xr3:uid="{507AE7FE-D558-BC4F-A5CA-E40425B61F11}" name="POSLÁNO NA ÚČET" dataDxfId="1602"/>
    <tableColumn id="16" xr3:uid="{B5C69843-5160-8343-AC7F-1535EB369646}" name="ÚČET " dataDxfId="1601"/>
    <tableColumn id="17" xr3:uid="{3AE829EE-5609-AF4C-93ED-EBAA26B86DE4}" name="MĚSÍC" dataDxfId="1600"/>
    <tableColumn id="18" xr3:uid="{692A8CF2-9442-EC47-97C9-B1355D870CE9}" name="DATUM" dataDxfId="1599"/>
    <tableColumn id="19" xr3:uid="{BFB9933D-D50C-F24B-81B0-1A7D883BA143}" name="Mrazák" dataDxfId="1598"/>
  </tableColumns>
  <tableStyleInfo name="TableStyleDark2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8" xr:uid="{91C6305A-F57C-A041-A606-DC3C557CBCEA}" name="Tabulka1215351011182326273234273839" displayName="Tabulka1215351011182326273234273839" ref="A2:AG41" totalsRowShown="0" headerRowDxfId="1597" dataDxfId="1596" tableBorderDxfId="1595">
  <autoFilter ref="A2:AG41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0A5057FE-D509-534E-99EE-26E30CA0AA6F}" name="Kartou" dataDxfId="1594"/>
    <tableColumn id="2" xr3:uid="{13FA9224-D1B2-A941-BF5A-19D7BCE8901C}" name="Datum" dataDxfId="1593"/>
    <tableColumn id="3" xr3:uid="{61F71601-1FB5-EA4C-8563-1AF9C5A9492A}" name="Hotově" dataDxfId="1592"/>
    <tableColumn id="4" xr3:uid="{1FD47609-7CE2-854B-A130-2022FE6C934F}" name="Kartou " dataDxfId="1591"/>
    <tableColumn id="5" xr3:uid="{ECE3B1C3-308F-3448-9357-3AF65593A924}" name="Datum " dataDxfId="1590"/>
    <tableColumn id="6" xr3:uid="{281F7CC5-AA0D-2147-BC0C-3AC4DF80651B}" name="Hotově " dataDxfId="1589"/>
    <tableColumn id="7" xr3:uid="{725885E9-27BA-A94A-AFC9-C55C48D41EB7}" name="Hotově  " dataDxfId="1588"/>
    <tableColumn id="8" xr3:uid="{31CA0DFC-E6F1-4B43-87EE-BDC96239549C}" name="Kartou  " dataDxfId="1587"/>
    <tableColumn id="9" xr3:uid="{BE8C2F6E-103D-DB4B-95FE-84FA1E1F1DC9}" name="Hotově   " dataDxfId="1586"/>
    <tableColumn id="10" xr3:uid="{26EE8498-42DE-A64D-876B-15D26AAE1386}" name="Datum   " dataDxfId="1585"/>
    <tableColumn id="11" xr3:uid="{606485C7-9B2D-D74C-BD55-7C4B16E3A605}" name="Kartou   " dataDxfId="1584"/>
    <tableColumn id="12" xr3:uid="{45F62720-51B3-7942-87BD-2802A66C493D}" name="CZE" dataDxfId="1583"/>
    <tableColumn id="13" xr3:uid="{B15D34B0-1888-DD43-BE2B-049A32098A7F}" name="POPIS" dataDxfId="1582"/>
    <tableColumn id="14" xr3:uid="{D451E124-2AD5-CC4F-A2BB-4B5D684DC76D}" name="EURO" dataDxfId="1581"/>
    <tableColumn id="15" xr3:uid="{CFDDEF3C-60D5-0B4C-8951-837A981A25B6}" name="EURO " dataDxfId="1580">
      <calculatedColumnFormula>AG43-AK6-AI3</calculatedColumnFormula>
    </tableColumn>
    <tableColumn id="16" xr3:uid="{01E6BE0C-4C79-9B4D-9841-02946AD7DB87}" name="CZE " dataDxfId="1579"/>
    <tableColumn id="17" xr3:uid="{0D0BDE39-09F7-B945-BC73-720F584F3D5F}" name="Pavel Zoula" dataDxfId="1578"/>
    <tableColumn id="18" xr3:uid="{1110DEB3-A713-D644-A6CB-B61248447497}" name=" Datum" dataDxfId="1577"/>
    <tableColumn id="19" xr3:uid="{AD201DDC-F333-F249-8CAF-F692BECDB6B4}" name="Karel Havel" dataDxfId="1576"/>
    <tableColumn id="20" xr3:uid="{0888B0CC-70F9-1343-A0E0-6A80243E8D7F}" name="  Datum" dataDxfId="1575"/>
    <tableColumn id="21" xr3:uid="{738F5BDA-9230-6B4C-A144-D97ABB0C8A09}" name="Ondřej Klimeš" dataDxfId="1574"/>
    <tableColumn id="22" xr3:uid="{1B3A349F-F1DF-E74D-98CB-12489D0F4E28}" name=" Datum " dataDxfId="1573"/>
    <tableColumn id="35" xr3:uid="{8245CDFF-7F09-784C-85AF-6414706F086E}" name="Kryštof Šplouchal" dataDxfId="1572"/>
    <tableColumn id="36" xr3:uid="{FB610DCB-E434-7C46-AEB8-73620C43BFC9}" name=" Datum  " dataDxfId="1571"/>
    <tableColumn id="33" xr3:uid="{01D952DE-8F32-7342-919E-DC1EB7182B84}" name="Erik Maloň" dataDxfId="1570"/>
    <tableColumn id="34" xr3:uid="{4B33BB55-56E5-EC4B-8CF5-AF6F79D7E9C6}" name="  Datum  " dataDxfId="1569"/>
    <tableColumn id="23" xr3:uid="{F62F5913-02FF-534D-918F-91017DF70CFB}" name="Pavel Potůček" dataDxfId="1568"/>
    <tableColumn id="24" xr3:uid="{51ED0447-C21E-B243-BC0A-9E021320CEA1}" name="  Datum " dataDxfId="1567"/>
    <tableColumn id="25" xr3:uid="{16691F26-DC0B-504B-A77D-65FF238C9714}" name="Ivan" dataDxfId="1566"/>
    <tableColumn id="26" xr3:uid="{6D5817C6-FBC9-6840-A3D0-B6C45A1AE762}" name="  Datum   " dataDxfId="1565"/>
    <tableColumn id="27" xr3:uid="{BDFE512A-A659-BF4D-B772-610AA802A2BD}" name="CZE," dataDxfId="1564"/>
    <tableColumn id="28" xr3:uid="{E609DD28-20E2-FC47-A292-CAA7E94A9263}" name="   DATUM " dataDxfId="1563"/>
    <tableColumn id="29" xr3:uid="{DFDE442C-4BE6-B147-9070-9887DF9D653C}" name="EURO," dataDxfId="1562">
      <calculatedColumnFormula>'04cash22'!AI3</calculatedColumnFormula>
    </tableColumn>
  </tableColumns>
  <tableStyleInfo name="TableStyleDark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DEFDDD88-4844-FE43-BADF-4EE61E50B767}" name="Tabulka414" displayName="Tabulka414" ref="A1:T35" totalsRowShown="0" headerRowDxfId="2068" dataDxfId="2066" headerRowBorderDxfId="2067" tableBorderDxfId="2065" totalsRowBorderDxfId="2064">
  <autoFilter ref="A1:T35" xr:uid="{76D3A18D-D239-3D4A-867D-F6B5D46C7FBE}"/>
  <tableColumns count="20">
    <tableColumn id="1" xr3:uid="{630D0561-5E53-0F4D-B8A3-7B22A3816701}" name=" DATUM" dataDxfId="2063"/>
    <tableColumn id="2" xr3:uid="{44826BB1-E2F0-C549-89DB-557325074BB6}" name="DEN" dataDxfId="2062">
      <calculatedColumnFormula>CHOOSE(WEEKDAY(U2),"Po","Út","St","Čt","Pá","So","Ne")</calculatedColumnFormula>
    </tableColumn>
    <tableColumn id="3" xr3:uid="{03AA5186-2BE8-7A44-86B6-87B40D98C581}" name="HOD" dataDxfId="2061">
      <calculatedColumnFormula>Tabulka414[[#This Row],[DO]]-Tabulka414[[#This Row],[OD]]-TIME(0,30,0)</calculatedColumnFormula>
    </tableColumn>
    <tableColumn id="4" xr3:uid="{C53485EB-82CB-714E-80F1-BCE4C16D4804}" name="CEL" dataDxfId="2060">
      <calculatedColumnFormula>M2*C2</calculatedColumnFormula>
    </tableColumn>
    <tableColumn id="20" xr3:uid="{DB550EE3-C49B-2D40-97A3-1D94ED8CD5FB}" name="OD" dataDxfId="2059"/>
    <tableColumn id="5" xr3:uid="{69E58828-A266-0B49-B961-2F01B0E3F369}" name="DO" dataDxfId="2058"/>
    <tableColumn id="6" xr3:uid="{F8FF1624-B17E-3D41-84F5-D2CF5661523C}" name="MĚSTO" dataDxfId="2057"/>
    <tableColumn id="7" xr3:uid="{B8097550-23DE-9E42-AB3C-14E561DF7FA0}" name="FIRMA" dataDxfId="2056"/>
    <tableColumn id="8" xr3:uid="{9C132C45-B5D3-3E40-B034-984A4963F7B5}" name="STÁT" dataDxfId="2055"/>
    <tableColumn id="9" xr3:uid="{46D366D5-03AA-F842-8DCF-E687D55F0F8C}" name="SUPERVISOR" dataDxfId="2054"/>
    <tableColumn id="10" xr3:uid="{B2754B48-B261-9B47-BCFC-72BF3C9B7E62}" name="FIRMA2" dataDxfId="2053"/>
    <tableColumn id="11" xr3:uid="{0FF43AD8-B614-FC4C-8F9C-A262EA18AA1C}" name="AUTO" dataDxfId="2052"/>
    <tableColumn id="12" xr3:uid="{FA07861E-994D-C242-8767-C241F04A43DF}" name="OSOB" dataDxfId="2051"/>
    <tableColumn id="13" xr3:uid="{7B567CC2-42F5-AC4B-AC57-A2D91C672D37}" name="CELKEM HODIN" dataDxfId="2050"/>
    <tableColumn id="14" xr3:uid="{368B0B34-CD58-7649-9F22-4297A0D89449}" name="Výplatní páska" dataDxfId="2049"/>
    <tableColumn id="15" xr3:uid="{7A681C95-8DBB-4545-8776-270A4E27CC0E}" name="POSLÁNO NA ÚČET" dataDxfId="2048"/>
    <tableColumn id="16" xr3:uid="{80B8ED9E-589D-4645-95F1-A34D0722384A}" name="ÚČET " dataDxfId="2047"/>
    <tableColumn id="17" xr3:uid="{85C65593-C664-3F4E-A712-6D5FB676350F}" name="MĚSÍC" dataDxfId="2046"/>
    <tableColumn id="18" xr3:uid="{ABB06FA9-11B3-CB4D-B120-656227344683}" name="DATUM" dataDxfId="2045"/>
    <tableColumn id="19" xr3:uid="{CC2BCC37-CA52-DF48-98D4-8D7FDBD8A144}" name="Mrazák" dataDxfId="2044">
      <calculatedColumnFormula>(N6*24*20)</calculatedColumnFormula>
    </tableColumn>
  </tableColumns>
  <tableStyleInfo name="TableStyleDark2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4" xr:uid="{34D02015-C8B5-6E43-918D-F72B19BF4469}" name="Tabulka121535101118232627323427383945" displayName="Tabulka121535101118232627323427383945" ref="A2:AG41" totalsRowShown="0" headerRowDxfId="1561" dataDxfId="1560" tableBorderDxfId="1559">
  <autoFilter ref="A2:AG41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9FEEFD95-CEAA-9F4F-9852-0675BADFC399}" name="Kartou" dataDxfId="1558"/>
    <tableColumn id="2" xr3:uid="{0EF9807C-CC35-714F-A573-5778DFAE96D5}" name="Datum" dataDxfId="1557"/>
    <tableColumn id="3" xr3:uid="{096382F3-C50D-E045-BDE6-6E82CFE032E1}" name="Hotově" dataDxfId="1556"/>
    <tableColumn id="4" xr3:uid="{1DB52EB8-A3D3-5F46-BC78-E602C17F008B}" name="Kartou " dataDxfId="1555"/>
    <tableColumn id="5" xr3:uid="{74B5F97D-2B8B-5E4E-AB50-41B51AF51A37}" name="Datum " dataDxfId="1554"/>
    <tableColumn id="6" xr3:uid="{2B9B0ED7-463A-FF40-9721-A3B1C3BE6683}" name="Hotově " dataDxfId="1553"/>
    <tableColumn id="7" xr3:uid="{C6CDBBEA-E2CA-FB46-B227-7F018C78C5B8}" name="Hotově  " dataDxfId="1552"/>
    <tableColumn id="8" xr3:uid="{8FDCDCCB-9CFB-864F-95D6-F0C711F9D96C}" name="Kartou  " dataDxfId="1551"/>
    <tableColumn id="9" xr3:uid="{B1223D29-860A-664F-9E98-CE9DFB7EACBC}" name="Hotově   " dataDxfId="1550"/>
    <tableColumn id="10" xr3:uid="{B9608350-3D8A-D341-8045-74B4E8F0A803}" name="Datum   " dataDxfId="1549"/>
    <tableColumn id="11" xr3:uid="{F2F8214C-270E-3C40-B26C-7A96FC0A2A72}" name="Kartou   " dataDxfId="1548"/>
    <tableColumn id="12" xr3:uid="{3894D7FB-CD79-DF44-A6A7-C0A2B7D8E00B}" name="CZE" dataDxfId="1547"/>
    <tableColumn id="13" xr3:uid="{6793D262-9B26-D543-BE9D-428B54CA9BB7}" name="POPIS" dataDxfId="1546"/>
    <tableColumn id="14" xr3:uid="{D9B89C20-D73F-A24C-97AF-4E816A112CB7}" name="EURO" dataDxfId="1545"/>
    <tableColumn id="15" xr3:uid="{9E97F50D-48CF-F847-9030-3AD0FF4DD48C}" name="EURO " dataDxfId="1544">
      <calculatedColumnFormula>AG43-AK6-AI3</calculatedColumnFormula>
    </tableColumn>
    <tableColumn id="16" xr3:uid="{5A83AF0B-4DBD-CB43-A2ED-78ADA00DAADA}" name="CZE " dataDxfId="1543"/>
    <tableColumn id="17" xr3:uid="{3ED94BAD-1901-6345-B1A0-EF3347A0672E}" name="Pavel Zoula" dataDxfId="1542"/>
    <tableColumn id="18" xr3:uid="{EC51B7CB-3B31-C141-A807-F0BB7833199E}" name=" Datum" dataDxfId="1541"/>
    <tableColumn id="19" xr3:uid="{6F6002F7-6BBD-3C47-8DB1-8388512D0B07}" name="Ondřej Klimeš" dataDxfId="1540"/>
    <tableColumn id="20" xr3:uid="{898231B4-95BA-574F-8A53-AFF918005FE9}" name="  Datum" dataDxfId="1539"/>
    <tableColumn id="21" xr3:uid="{A1A5851C-750C-264D-86AF-F431BE2DABC6}" name="Kryštof Šplouchal" dataDxfId="1538"/>
    <tableColumn id="22" xr3:uid="{678D03AD-9EB8-F84F-BE7A-A4CFBDD831C3}" name=" Datum " dataDxfId="1537"/>
    <tableColumn id="35" xr3:uid="{8EA3F357-2461-044D-92AD-0AFBFD26FC49}" name="1" dataDxfId="1536"/>
    <tableColumn id="36" xr3:uid="{41A37EC8-E50B-7D4A-B4C9-539A84721530}" name=" Datum  " dataDxfId="1535"/>
    <tableColumn id="33" xr3:uid="{A8DAC636-A8DE-8E4E-ADDA-43E61BD5DF4D}" name="2" dataDxfId="1534"/>
    <tableColumn id="34" xr3:uid="{93645C72-0F80-C445-9E0E-FED5BFCBCFF2}" name="  Datum  " dataDxfId="1533"/>
    <tableColumn id="23" xr3:uid="{57E2581C-77D3-4944-96E6-3EE8D6F7ACC8}" name="3" dataDxfId="1532"/>
    <tableColumn id="24" xr3:uid="{ACA3E951-82E7-864C-9B18-34FC44445680}" name="  Datum " dataDxfId="1531"/>
    <tableColumn id="25" xr3:uid="{9C6C6B6B-2B74-3645-AC4E-03DBC6CB41BA}" name="4" dataDxfId="1530"/>
    <tableColumn id="26" xr3:uid="{19AC36A9-8397-ED4D-908B-6F4A4EE880AB}" name="  Datum   " dataDxfId="1529"/>
    <tableColumn id="27" xr3:uid="{62221512-2CB8-9746-AFF5-2273EE0F52FB}" name="CZE," dataDxfId="1528"/>
    <tableColumn id="28" xr3:uid="{240AE9A6-6937-E84F-A051-24768F42F8B8}" name="   DATUM " dataDxfId="1527"/>
    <tableColumn id="29" xr3:uid="{F5E6D55C-12E1-574D-9FAB-ADD5A2F12939}" name="EURO," dataDxfId="1526">
      <calculatedColumnFormula>'04cash22'!AI3</calculatedColumnFormula>
    </tableColumn>
  </tableColumns>
  <tableStyleInfo name="TableStyleDark2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5" xr:uid="{7F795100-7E03-3A4D-ACA6-F4A681730DEB}" name="Tabulka41425679624252229283133364446" displayName="Tabulka41425679624252229283133364446" ref="A1:U35" totalsRowShown="0" headerRowDxfId="1525" dataDxfId="1523" headerRowBorderDxfId="1524" tableBorderDxfId="1522" totalsRowBorderDxfId="1521">
  <autoFilter ref="A1:U35" xr:uid="{76D3A18D-D239-3D4A-867D-F6B5D46C7FBE}"/>
  <tableColumns count="21">
    <tableColumn id="1" xr3:uid="{17171FF8-5765-D448-A38B-3D4142C828FB}" name=" DATUM" dataDxfId="1520"/>
    <tableColumn id="2" xr3:uid="{E6F21CB1-19F8-9143-A188-1672FDD9169B}" name="DEN" dataDxfId="1519">
      <calculatedColumnFormula>CHOOSE(WEEKDAY(V2),"Po","Út","St","Čt","Pá","So","Ne")</calculatedColumnFormula>
    </tableColumn>
    <tableColumn id="3" xr3:uid="{13628497-6F9A-E642-ABED-062784A2518C}" name="HOD" dataDxfId="1518">
      <calculatedColumnFormula>G2-E2-F2</calculatedColumnFormula>
    </tableColumn>
    <tableColumn id="4" xr3:uid="{4B911997-607D-2D47-A17A-E8D703BCDF9F}" name="CEL" dataDxfId="1517">
      <calculatedColumnFormula>(N2*C2)*24</calculatedColumnFormula>
    </tableColumn>
    <tableColumn id="20" xr3:uid="{B4931C18-0E88-8F4A-B48E-5735E657D0D2}" name="OD" dataDxfId="1516"/>
    <tableColumn id="21" xr3:uid="{F6E08771-B0EB-D34E-8070-583EA51079A6}" name="Obĕd" dataDxfId="1515">
      <calculatedColumnFormula>TIME(0,30,0)</calculatedColumnFormula>
    </tableColumn>
    <tableColumn id="5" xr3:uid="{D5B95C53-A1F9-594D-BE51-5A82FEB4AB0E}" name="DO" dataDxfId="1514"/>
    <tableColumn id="6" xr3:uid="{794C29B3-8C43-6A4C-BFFC-F302516B1170}" name="MĚSTO" dataDxfId="1513"/>
    <tableColumn id="7" xr3:uid="{684F8F08-D4AE-8F4A-868D-9686266F5ACB}" name="FIRMA" dataDxfId="1512"/>
    <tableColumn id="8" xr3:uid="{9F704DB9-71EB-084A-AEE1-76A117A51492}" name="STÁT" dataDxfId="1511"/>
    <tableColumn id="9" xr3:uid="{82E287AF-5393-7642-AA0C-4F6E51239E51}" name="SUPERVISOR" dataDxfId="1510"/>
    <tableColumn id="10" xr3:uid="{C1010BA7-C542-094C-AB04-FA68239F6528}" name="FIRMA2" dataDxfId="1509"/>
    <tableColumn id="11" xr3:uid="{B55CA969-1731-8D47-92DC-51902DCC89A7}" name="AUTO" dataDxfId="1508"/>
    <tableColumn id="12" xr3:uid="{7B9149C0-C808-2445-9848-165D6166FB58}" name="OSOB" dataDxfId="1507"/>
    <tableColumn id="13" xr3:uid="{0D3B9E4D-6E40-FD43-8996-81F2914260C3}" name="CELKEM HODIN" dataDxfId="1506"/>
    <tableColumn id="14" xr3:uid="{0F9FFD93-C638-B147-BAEC-576341D4484A}" name="Výplatní páska" dataDxfId="1505"/>
    <tableColumn id="15" xr3:uid="{F743FB7E-82B0-1546-9217-06351FE822F7}" name="POSLÁNO NA ÚČET" dataDxfId="1504"/>
    <tableColumn id="16" xr3:uid="{56079537-CB1B-B146-B267-22B07E51E6A2}" name="ÚČET " dataDxfId="1503"/>
    <tableColumn id="17" xr3:uid="{E0DEA88A-EA7D-4642-8656-5B25A3FE4006}" name="MĚSÍC" dataDxfId="1502"/>
    <tableColumn id="18" xr3:uid="{B3526D69-F13E-CE48-9BBD-46A7A6BCA1D2}" name="DATUM" dataDxfId="1501"/>
    <tableColumn id="19" xr3:uid="{26881525-4C02-554D-A6A2-6519A9B634C6}" name="Mrazák" dataDxfId="1500"/>
  </tableColumns>
  <tableStyleInfo name="TableStyleDark2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7" xr:uid="{6E954266-E24A-DA4B-AE1E-424C13AB0595}" name="Tabulka12153510111823262732342738" displayName="Tabulka12153510111823262732342738" ref="A2:AG41" totalsRowShown="0" headerRowDxfId="1499" dataDxfId="1498" tableBorderDxfId="1497">
  <autoFilter ref="A2:AG41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C791126B-A36A-2140-B7AE-9DC66CCCE9C8}" name="Kartou" dataDxfId="1496"/>
    <tableColumn id="2" xr3:uid="{F8A80F3C-2F76-4645-8155-2E327864DAED}" name="Datum" dataDxfId="1495"/>
    <tableColumn id="3" xr3:uid="{A2AAA5DD-26FB-374F-A316-3EC68709A005}" name="Hotově" dataDxfId="1494"/>
    <tableColumn id="4" xr3:uid="{503BE417-1A6C-8449-B08F-C0CD5622D99A}" name="Kartou " dataDxfId="1493"/>
    <tableColumn id="5" xr3:uid="{C0BA1D2C-1855-764B-B266-403E226D5D95}" name="Datum " dataDxfId="1492"/>
    <tableColumn id="6" xr3:uid="{D3D2D94B-4D88-E44B-BF32-1C4980B77AD3}" name="Hotově " dataDxfId="1491"/>
    <tableColumn id="7" xr3:uid="{C06F81EA-71AE-4E4D-BEE9-95F9B6AE2086}" name="Hotově  " dataDxfId="1490"/>
    <tableColumn id="8" xr3:uid="{98275776-D085-9449-AD14-DED6301F14E2}" name="Kartou  " dataDxfId="1489"/>
    <tableColumn id="9" xr3:uid="{32EA32DB-1118-CA41-ADC8-3964286CF347}" name="Hotově   " dataDxfId="1488"/>
    <tableColumn id="10" xr3:uid="{D1A5EBF1-609D-8342-8169-6D654FEC87A4}" name="Datum   " dataDxfId="1487"/>
    <tableColumn id="11" xr3:uid="{7A319891-3B55-9943-B186-8E757075CF74}" name="Kartou   " dataDxfId="1486"/>
    <tableColumn id="12" xr3:uid="{76C912E4-D9A7-3144-81AB-A0E026145C6D}" name="CZE" dataDxfId="1485"/>
    <tableColumn id="13" xr3:uid="{32163692-6917-034B-B95D-3C294759C28E}" name="POPIS" dataDxfId="1484"/>
    <tableColumn id="14" xr3:uid="{E6F9CEB0-9B82-654A-B9E0-DA29D1F6C463}" name="EURO" dataDxfId="1483"/>
    <tableColumn id="15" xr3:uid="{060989C4-6BF2-1A40-9B83-61E04241DFD3}" name="EURO " dataDxfId="1482">
      <calculatedColumnFormula>AG43-AK6-AI3</calculatedColumnFormula>
    </tableColumn>
    <tableColumn id="16" xr3:uid="{A40D2B6E-697C-9C47-9CDF-83466C32977D}" name="CZE " dataDxfId="1481"/>
    <tableColumn id="17" xr3:uid="{21774A1B-7D10-1C42-B931-223DBE3A3AE1}" name="Pavel Zoula" dataDxfId="1480"/>
    <tableColumn id="18" xr3:uid="{740AF47E-2997-C347-835C-985922B071F2}" name=" Datum" dataDxfId="1479"/>
    <tableColumn id="19" xr3:uid="{FC22D24E-43FE-D041-9D9C-85244D50DEDC}" name="Karel Havel" dataDxfId="1478"/>
    <tableColumn id="20" xr3:uid="{117D20BD-90A8-C34B-9FBF-BA6AC4E56F55}" name="  Datum" dataDxfId="1477"/>
    <tableColumn id="21" xr3:uid="{FD1171A2-1A04-B644-8DE8-301D0CD66492}" name="Ondřej Klimeš" dataDxfId="1476"/>
    <tableColumn id="22" xr3:uid="{9763FE89-3C5E-D842-8612-256C5BDA66D5}" name=" Datum " dataDxfId="1475"/>
    <tableColumn id="35" xr3:uid="{A258C212-FEBD-274C-A77C-1AA3FF9DA8F6}" name="0" dataDxfId="1474"/>
    <tableColumn id="36" xr3:uid="{8DC15616-4722-334A-96B5-9247EAD2B85D}" name=" Datum  " dataDxfId="1473"/>
    <tableColumn id="33" xr3:uid="{69CAC224-755D-7740-B3D7-C024ABF8291F}" name="Erik Maloň" dataDxfId="1472"/>
    <tableColumn id="34" xr3:uid="{C2647AF7-3CA4-A141-97A3-AC0CDE5E552E}" name="  Datum  " dataDxfId="1471"/>
    <tableColumn id="23" xr3:uid="{0496E76B-6AB5-5E4B-96C9-C52B2AB07F8E}" name="4" dataDxfId="1470"/>
    <tableColumn id="24" xr3:uid="{78939EB5-1916-9E43-B60A-64485BA1080F}" name="  Datum " dataDxfId="1469"/>
    <tableColumn id="25" xr3:uid="{C7B5814E-0CE7-C642-A3E8-6A907108D487}" name="7" dataDxfId="1468"/>
    <tableColumn id="26" xr3:uid="{30C5A89F-AA5E-6F45-BAD6-2F238CDFC14F}" name="  Datum   " dataDxfId="1467"/>
    <tableColumn id="27" xr3:uid="{ABC266C4-9E16-D345-8F84-0E5BA04785F7}" name="CZE," dataDxfId="1466"/>
    <tableColumn id="28" xr3:uid="{BA3C63FF-A31A-A443-935F-262E8C1701A9}" name="   DATUM " dataDxfId="1465"/>
    <tableColumn id="29" xr3:uid="{2686C822-D344-4C47-B338-2526D5C790BC}" name="EURO," dataDxfId="1464">
      <calculatedColumnFormula>'04cash22'!AI3</calculatedColumnFormula>
    </tableColumn>
  </tableColumns>
  <tableStyleInfo name="TableStyleDark2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389F49EE-9E87-3540-937C-53A9F731D62C}" name="Tabulka121535101118232627323427" displayName="Tabulka121535101118232627323427" ref="A2:AG41" totalsRowShown="0" headerRowDxfId="1463" dataDxfId="1462" tableBorderDxfId="1461">
  <autoFilter ref="A2:AG41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191FDE15-2CA6-E044-A594-A075CB0A3734}" name="Kartou" dataDxfId="1460"/>
    <tableColumn id="2" xr3:uid="{A263A280-E34F-4246-86D6-68A2E39978F2}" name="Datum" dataDxfId="1459"/>
    <tableColumn id="3" xr3:uid="{5FC47A36-4B29-E048-868F-7252858DFC88}" name="Hotově" dataDxfId="1458"/>
    <tableColumn id="4" xr3:uid="{B449976B-3F8F-B640-B0BF-83FA63BFEAE3}" name="Kartou " dataDxfId="1457"/>
    <tableColumn id="5" xr3:uid="{F5F16DDA-269E-CE4B-8DBC-E4A7DAF21A64}" name="Datum " dataDxfId="1456"/>
    <tableColumn id="6" xr3:uid="{D8C8C2E7-EA30-C348-AA90-2D70E2D596ED}" name="Hotově " dataDxfId="1455"/>
    <tableColumn id="7" xr3:uid="{9ABC5A26-3AD6-A749-8813-EC6C0E329D0C}" name="Hotově  " dataDxfId="1454"/>
    <tableColumn id="8" xr3:uid="{8601C2BF-5700-B041-A449-BF6A512CCE60}" name="Kartou  " dataDxfId="1453"/>
    <tableColumn id="9" xr3:uid="{C62CBE87-7E31-1140-B3A9-B3FE6719E593}" name="Hotově   " dataDxfId="1452"/>
    <tableColumn id="10" xr3:uid="{E46E1DDC-1966-DE4A-AE4D-BAAB7FBDE24C}" name="Datum   " dataDxfId="1451"/>
    <tableColumn id="11" xr3:uid="{6702F1DA-ACF6-7546-91EB-E9D4674E7AA7}" name="Kartou   " dataDxfId="1450"/>
    <tableColumn id="12" xr3:uid="{DF49C5DB-2A6E-FD4B-9D9F-4C64DE858A5E}" name="CZE" dataDxfId="1449"/>
    <tableColumn id="13" xr3:uid="{B3592F37-83B2-7F47-845B-2EA0562E9744}" name="POPIS" dataDxfId="1448"/>
    <tableColumn id="14" xr3:uid="{9EF3FA3C-D50F-B445-9935-4FA44169C4B7}" name="EURO" dataDxfId="1447"/>
    <tableColumn id="15" xr3:uid="{5B9DA67E-B789-014F-89D5-075B65BBBE1A}" name="EURO " dataDxfId="1446">
      <calculatedColumnFormula>AG43-AK6-AI3</calculatedColumnFormula>
    </tableColumn>
    <tableColumn id="16" xr3:uid="{5F291D84-463D-CE44-AF1B-5C4299384CDE}" name="CZE " dataDxfId="1445"/>
    <tableColumn id="17" xr3:uid="{4EB725A7-8CAF-194F-AD08-EC3A08E1B093}" name="Pavel Vaculka" dataDxfId="1444"/>
    <tableColumn id="18" xr3:uid="{04A45D7A-3235-E645-BC3B-DDFF08C4D9B4}" name=" Datum" dataDxfId="1443"/>
    <tableColumn id="19" xr3:uid="{6A71C224-3D93-194E-9B19-0CA93F0ADBA8}" name="Pavel Zoula" dataDxfId="1442"/>
    <tableColumn id="20" xr3:uid="{00EB8305-50E5-F849-B443-9F79D523E9A4}" name="  Datum" dataDxfId="1441"/>
    <tableColumn id="21" xr3:uid="{A3BE2310-0ED1-B74F-914E-4518810CC840}" name="Pavel Paul" dataDxfId="1440"/>
    <tableColumn id="22" xr3:uid="{698ACDB9-337E-444C-BE84-F868BFD4FBFB}" name=" Datum " dataDxfId="1439"/>
    <tableColumn id="35" xr3:uid="{5464D364-9993-454B-8635-2F99229B13E0}" name="Ondřej Klimeš" dataDxfId="1438"/>
    <tableColumn id="36" xr3:uid="{20D1CA68-7967-6349-805F-474ED5FD7DAB}" name=" Datum  " dataDxfId="1437"/>
    <tableColumn id="33" xr3:uid="{879662EA-9537-F341-AA60-929069969D8C}" name="Tomáš Bogdan" dataDxfId="1436"/>
    <tableColumn id="34" xr3:uid="{927B39C3-7161-8C41-8407-54406DBEF35D}" name="  Datum  " dataDxfId="1435"/>
    <tableColumn id="23" xr3:uid="{6637F9E4-009D-5F48-B6D4-D52090199FF9}" name="Vladimír Kvapil" dataDxfId="1434"/>
    <tableColumn id="24" xr3:uid="{ECFCEE0E-CC48-8A44-B0FD-E2EB71F1C260}" name="  Datum " dataDxfId="1433"/>
    <tableColumn id="25" xr3:uid="{81F3EB95-A593-0C4F-871D-DCFDAA1B0BE4}" name="Aleš Jícha" dataDxfId="1432"/>
    <tableColumn id="26" xr3:uid="{5F679C4C-7999-5447-8AAD-CF6626F254B9}" name="  Datum   " dataDxfId="1431"/>
    <tableColumn id="27" xr3:uid="{6C405D28-19F5-B042-98D6-721D4FC869B0}" name="CZE," dataDxfId="1430"/>
    <tableColumn id="28" xr3:uid="{1A828A7A-378E-FB49-9CC3-BE5B13A59B02}" name="   DATUM " dataDxfId="1429"/>
    <tableColumn id="29" xr3:uid="{EEA5D01C-2211-844D-B925-DB4729F38A35}" name="EURO," dataDxfId="1428">
      <calculatedColumnFormula>'04cash22'!AI3</calculatedColumnFormula>
    </tableColumn>
  </tableColumns>
  <tableStyleInfo name="TableStyleDark2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3" xr:uid="{506101BE-A72B-CF41-A589-A93D46F75B9A}" name="Tabulka1215351011182326273234" displayName="Tabulka1215351011182326273234" ref="A2:AG41" totalsRowShown="0" headerRowDxfId="1427" dataDxfId="1426" tableBorderDxfId="1425">
  <autoFilter ref="A2:AG41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48615362-3E33-864F-A775-BE05B498AFF2}" name="Kartou" dataDxfId="1424"/>
    <tableColumn id="2" xr3:uid="{D1F0D3D8-221F-5F4B-9D1F-1BC85CC0F23D}" name="Datum" dataDxfId="1423"/>
    <tableColumn id="3" xr3:uid="{575AE151-B98A-654A-A4CC-2D3204FFDBEB}" name="Hotově" dataDxfId="1422"/>
    <tableColumn id="4" xr3:uid="{7433492C-FB1D-DF47-B176-A9863284733F}" name="Kartou " dataDxfId="1421"/>
    <tableColumn id="5" xr3:uid="{64445BAE-59BC-454D-A775-00532CD049E4}" name="Datum " dataDxfId="1420"/>
    <tableColumn id="6" xr3:uid="{A764CB3C-25CA-6D40-BB11-159FE51DE4A4}" name="Hotově " dataDxfId="1419"/>
    <tableColumn id="7" xr3:uid="{865F03C9-F8D2-D14E-AE2E-ACBD4E4339E4}" name="Hotově  " dataDxfId="1418"/>
    <tableColumn id="8" xr3:uid="{FF8443E1-E995-7240-A766-55FEDCA7DFA3}" name="Kartou  " dataDxfId="1417"/>
    <tableColumn id="9" xr3:uid="{631DFBA7-21C2-904E-BE83-2D1DE8137D07}" name="Hotově   " dataDxfId="1416"/>
    <tableColumn id="10" xr3:uid="{19887734-2440-A64C-83FC-A2606E984792}" name="Datum   " dataDxfId="1415"/>
    <tableColumn id="11" xr3:uid="{BAB9A157-BF3C-3041-BDAE-0A1E69C4660F}" name="Kartou   " dataDxfId="1414"/>
    <tableColumn id="12" xr3:uid="{895DC906-955B-3A45-B8A5-B09631A84656}" name="CZE" dataDxfId="1413"/>
    <tableColumn id="13" xr3:uid="{4C6D6697-8C64-3B46-89CF-D8C022094F7F}" name="POPIS" dataDxfId="1412"/>
    <tableColumn id="14" xr3:uid="{266DD3C1-60C0-AA41-90BA-7F9596E0EC1E}" name="EURO" dataDxfId="1411"/>
    <tableColumn id="15" xr3:uid="{3C86CFCD-A333-C449-9FEC-38439DC3C91A}" name="EURO " dataDxfId="1410">
      <calculatedColumnFormula>AG43-AK6-AI3</calculatedColumnFormula>
    </tableColumn>
    <tableColumn id="16" xr3:uid="{F36226DF-5D72-6C4E-8BA0-7DE47B90442D}" name="CZE " dataDxfId="1409"/>
    <tableColumn id="17" xr3:uid="{03E154ED-5E4E-0A48-8F19-03A675A1848F}" name="Ondra" dataDxfId="1408"/>
    <tableColumn id="18" xr3:uid="{CB71D638-B90D-1442-BE38-0172E536EA10}" name=" Datum" dataDxfId="1407"/>
    <tableColumn id="19" xr3:uid="{8A613B07-1B5E-8746-8236-17CF797F2A0A}" name="Zoulič" dataDxfId="1406"/>
    <tableColumn id="20" xr3:uid="{A86F84AB-4F79-C14D-8017-0D7C8F3AD410}" name="  Datum" dataDxfId="1405"/>
    <tableColumn id="21" xr3:uid="{683D53C5-AC95-354A-A77A-B8029D072098}" name="Tadeáš Gruss" dataDxfId="1404"/>
    <tableColumn id="22" xr3:uid="{A672DE66-E1D4-8E46-B3B5-A7347D849547}" name=" Datum " dataDxfId="1403"/>
    <tableColumn id="35" xr3:uid="{268D3737-5ED9-7F45-8A27-D5D613FBD680}" name="Jícha" dataDxfId="1402"/>
    <tableColumn id="36" xr3:uid="{5DEB5A89-7B6D-C040-87B9-CCE6CCBFCDE6}" name=" Datum  " dataDxfId="1401"/>
    <tableColumn id="33" xr3:uid="{2AF424BB-9832-664A-B20C-34C01C39B1BC}" name="Lukáš Lang" dataDxfId="1400"/>
    <tableColumn id="34" xr3:uid="{B15C2E42-4747-7545-B056-93B8B94C7B59}" name="  Datum  " dataDxfId="1399"/>
    <tableColumn id="23" xr3:uid="{BDAA63BB-2164-BB49-A8DF-42043A6EFB28}" name="Chrastina" dataDxfId="1398"/>
    <tableColumn id="24" xr3:uid="{5453A652-B126-3E4C-A61A-F662425D45EA}" name="  Datum " dataDxfId="1397"/>
    <tableColumn id="25" xr3:uid="{5AF77EEC-7DBD-9C4E-8703-2CC6F1E14C6D}" name="Bečka" dataDxfId="1396"/>
    <tableColumn id="26" xr3:uid="{5D8BF390-C418-9A44-BA5D-DCD294FA3EA8}" name="  Datum   " dataDxfId="1395"/>
    <tableColumn id="27" xr3:uid="{486A13BF-74FA-C043-B349-A2C0BB5196E0}" name="CZE," dataDxfId="1394"/>
    <tableColumn id="28" xr3:uid="{E84C4392-D317-4F4F-8BA8-D6F056418F6E}" name="   DATUM " dataDxfId="1393"/>
    <tableColumn id="29" xr3:uid="{61E1A225-C1B7-004B-9B0E-313F08C42B71}" name="EURO," dataDxfId="1392">
      <calculatedColumnFormula>'03cash22'!AI3</calculatedColumnFormula>
    </tableColumn>
  </tableColumns>
  <tableStyleInfo name="TableStyleDark2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2" xr:uid="{5D47C297-0DF1-EF46-9A45-3E0BE32F6E16}" name="Tabulka414256796242522292831333643" displayName="Tabulka414256796242522292831333643" ref="C2:W36" totalsRowShown="0" headerRowDxfId="1391" dataDxfId="1389" headerRowBorderDxfId="1390" tableBorderDxfId="1388" totalsRowBorderDxfId="1387">
  <autoFilter ref="C2:W36" xr:uid="{76D3A18D-D239-3D4A-867D-F6B5D46C7FBE}"/>
  <tableColumns count="21">
    <tableColumn id="1" xr3:uid="{B6B76E6F-6D75-594D-8256-66571149F929}" name=" DATUM" dataDxfId="1386"/>
    <tableColumn id="2" xr3:uid="{342C0854-EDF0-BC46-BA8B-F2C442F05D7C}" name="DEN" dataDxfId="1385">
      <calculatedColumnFormula>CHOOSE(WEEKDAY(X3),"Po","Út","St","Čt","Pá","So","Ne")</calculatedColumnFormula>
    </tableColumn>
    <tableColumn id="3" xr3:uid="{73620C2A-3A9B-FF41-9290-F8C52ACD8081}" name="HOD" dataDxfId="1384">
      <calculatedColumnFormula>I3-G3-H3</calculatedColumnFormula>
    </tableColumn>
    <tableColumn id="4" xr3:uid="{3E711D08-10BB-AB43-9436-3EE8E534C70E}" name="CEL" dataDxfId="1383">
      <calculatedColumnFormula>(P3*E3)*24</calculatedColumnFormula>
    </tableColumn>
    <tableColumn id="20" xr3:uid="{79726D4B-EE73-704C-A4D0-17AD8B7EFE45}" name="OD" dataDxfId="1382"/>
    <tableColumn id="21" xr3:uid="{69CC8CFB-77FD-9D4C-B61B-A45F71B093C3}" name="Obĕd" dataDxfId="1381">
      <calculatedColumnFormula>TIME(0,30,0)</calculatedColumnFormula>
    </tableColumn>
    <tableColumn id="5" xr3:uid="{66745246-7F9A-CF48-9867-DAFA2EBAB55E}" name="DO" dataDxfId="1380"/>
    <tableColumn id="6" xr3:uid="{C8DADBC9-3E2E-A646-9915-11CB76544B31}" name="MĚSTO" dataDxfId="1379"/>
    <tableColumn id="7" xr3:uid="{CCDCDED6-6CA5-1245-B1C1-1D039849F5D1}" name="FIRMA" dataDxfId="1378"/>
    <tableColumn id="8" xr3:uid="{36390274-C3FF-564E-9CAB-6446117AD3A1}" name="STÁT" dataDxfId="1377"/>
    <tableColumn id="9" xr3:uid="{65CB48D5-7BB7-AC48-8267-C658EB433EA4}" name="SUPERVISOR" dataDxfId="1376"/>
    <tableColumn id="10" xr3:uid="{DDA7E73C-D84F-DA42-88A4-C936FD7BBC9B}" name="FIRMA2" dataDxfId="1375"/>
    <tableColumn id="11" xr3:uid="{CF37B850-3CE1-5144-96E2-E6471E68ECE4}" name="AUTO" dataDxfId="1374"/>
    <tableColumn id="12" xr3:uid="{E0F45099-817C-2944-8EF8-0B2565ED0AFC}" name="OSOB" dataDxfId="1373"/>
    <tableColumn id="13" xr3:uid="{39E42A1E-51F2-4B4F-A19D-C2A49E99C699}" name="CELKEM HODIN" dataDxfId="1372"/>
    <tableColumn id="14" xr3:uid="{072F8D21-6F58-AB45-BDD8-31E168920C71}" name="Výplatní páska" dataDxfId="1371"/>
    <tableColumn id="15" xr3:uid="{3BC0E77A-23AA-684C-82E7-AD6D466CEE9A}" name="POSLÁNO NA ÚČET" dataDxfId="1370"/>
    <tableColumn id="16" xr3:uid="{FD139F88-8576-9541-BDC8-EC063425763F}" name="ÚČET " dataDxfId="1369"/>
    <tableColumn id="17" xr3:uid="{9FF05ACD-4242-7F4F-8654-B5682B0B6E69}" name="MĚSÍC" dataDxfId="1368"/>
    <tableColumn id="18" xr3:uid="{F7389AE1-C30B-ED47-9236-77F65036483B}" name="DATUM" dataDxfId="1367"/>
    <tableColumn id="19" xr3:uid="{1C18D200-CF7F-0642-A8D3-7737156BB603}" name="Mrazák" dataDxfId="1366"/>
  </tableColumns>
  <tableStyleInfo name="TableStyleDark2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5" xr:uid="{646527AA-3C53-4B4E-92DD-D572246B69B8}" name="Tabulka12153510111823262732342735444852585966" displayName="Tabulka12153510111823262732342735444852585966" ref="A2:AG42" totalsRowShown="0" headerRowDxfId="1365" dataDxfId="1364" tableBorderDxfId="1363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A7AE4488-7272-EE4A-B20F-A359E85C4294}" name="Kartou" dataDxfId="1362"/>
    <tableColumn id="2" xr3:uid="{01D9D34A-679E-9546-AA4F-F8E78F27F956}" name="Datum" dataDxfId="1361"/>
    <tableColumn id="3" xr3:uid="{A489460A-1749-1545-82D6-F8C40B7F2CAD}" name="Hotově" dataDxfId="1360"/>
    <tableColumn id="4" xr3:uid="{7AD724E7-0A53-E74C-BFFD-E85B55C49D8F}" name="Kartou " dataDxfId="1359"/>
    <tableColumn id="5" xr3:uid="{26920FD3-897D-F14B-89C9-0F3BCD5DE1D6}" name="Datum " dataDxfId="1358"/>
    <tableColumn id="6" xr3:uid="{CC196B75-54A3-9046-9D68-517C0AA121C6}" name="Hotově " dataDxfId="1357"/>
    <tableColumn id="7" xr3:uid="{CBF47BE8-EAF4-C740-A0E3-996FFBB01C8C}" name="Hotově  " dataDxfId="1356"/>
    <tableColumn id="8" xr3:uid="{1E6AC461-FE11-7047-9210-C3EBD0A5E5C8}" name="Kartou  " dataDxfId="1355"/>
    <tableColumn id="9" xr3:uid="{429DF9B8-8A37-8F49-A3F1-C7A2B74B5DE3}" name="Hotově   " dataDxfId="1354"/>
    <tableColumn id="10" xr3:uid="{38B3474E-0094-A044-BDF2-6F5A0BFBE3C2}" name="Datum   " dataDxfId="1353"/>
    <tableColumn id="11" xr3:uid="{066F8776-E011-B541-BE65-C1604DD519AC}" name="Kartou   " dataDxfId="1352"/>
    <tableColumn id="12" xr3:uid="{26FD4134-BC72-F143-9D38-C02DC34A05F2}" name="CZE" dataDxfId="1351"/>
    <tableColumn id="13" xr3:uid="{1C32E228-2E55-AA47-AED9-E944C1A1CA19}" name="POPIS" dataDxfId="1350"/>
    <tableColumn id="14" xr3:uid="{80F3B01C-554D-FF40-9E8C-9ED960C085B0}" name="EURO" dataDxfId="1349"/>
    <tableColumn id="15" xr3:uid="{2D1EA858-634A-A249-AF73-3338B46218E0}" name="EURO " dataDxfId="1348">
      <calculatedColumnFormula>AG44-AK6-AI3</calculatedColumnFormula>
    </tableColumn>
    <tableColumn id="16" xr3:uid="{6D823A8F-9DE2-5A4E-BF4F-109B28A3A7F3}" name="CZE " dataDxfId="1347"/>
    <tableColumn id="17" xr3:uid="{C901B97D-4F57-6A47-AD02-D3821DE1B8E5}" name="Jan Šiman" dataDxfId="1346"/>
    <tableColumn id="18" xr3:uid="{DDA6AEED-EA85-D949-884F-B74F83A781DB}" name=" Datum" dataDxfId="1345"/>
    <tableColumn id="19" xr3:uid="{8B7FCE9F-15DF-A341-8D8D-4783E6BB21FB}" name="xxx" dataDxfId="1344"/>
    <tableColumn id="20" xr3:uid="{CB9B1F38-0199-2043-A114-20B71D570406}" name="  Datum" dataDxfId="1343"/>
    <tableColumn id="21" xr3:uid="{891D3873-A0FF-E047-9587-EF36F30EF7D8}" name="xx" dataDxfId="1342"/>
    <tableColumn id="22" xr3:uid="{D0D88502-4929-FD4D-B569-74D55528FFDA}" name=" Datum " dataDxfId="1341"/>
    <tableColumn id="35" xr3:uid="{CE40DBE0-34F7-B647-841F-7CCCD5250353}" name="x" dataDxfId="1340"/>
    <tableColumn id="36" xr3:uid="{1F3120FD-A76A-214B-9AA0-3C46A83B08E0}" name=" Datum  " dataDxfId="1339"/>
    <tableColumn id="33" xr3:uid="{5A219859-9E83-4045-9445-7836E28AF219}" name="1" dataDxfId="1338"/>
    <tableColumn id="34" xr3:uid="{B597BFED-F875-BB45-B7B2-AC38A2AE8A27}" name="  Datum  " dataDxfId="1337"/>
    <tableColumn id="23" xr3:uid="{A577D0F0-8DA8-7247-9D49-750E7DD79EF0}" name="4" dataDxfId="1336"/>
    <tableColumn id="24" xr3:uid="{4F9422BC-53C7-2649-9626-9D14A20433F4}" name="  Datum " dataDxfId="1335"/>
    <tableColumn id="25" xr3:uid="{C4DF3189-AF93-A14A-959F-EEAA791FD012}" name="7" dataDxfId="1334"/>
    <tableColumn id="26" xr3:uid="{789BEF1C-BCC4-3349-A683-95CA5DA30E8F}" name="  Datum   " dataDxfId="1333"/>
    <tableColumn id="27" xr3:uid="{480D3C4D-1207-BD4A-863C-0685A7BA5EE5}" name="CZE," dataDxfId="1332"/>
    <tableColumn id="28" xr3:uid="{3A660CD4-A9A3-994E-B5C9-69CB72B5D630}" name="   DATUM " dataDxfId="1331"/>
    <tableColumn id="29" xr3:uid="{06C7C5EA-CB61-EF45-9A23-5DF102A54327}" name="EURO," dataDxfId="1330">
      <calculatedColumnFormula>'03cash22'!AI3</calculatedColumnFormula>
    </tableColumn>
  </tableColumns>
  <tableStyleInfo name="TableStyleDark2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6" xr:uid="{75525991-CF43-644D-AE8D-E9EB01B0BB76}" name="Tabulka41425679624252229283133364347" displayName="Tabulka41425679624252229283133364347" ref="A2:U36" totalsRowShown="0" headerRowDxfId="1329" dataDxfId="1327" headerRowBorderDxfId="1328" tableBorderDxfId="1326" totalsRowBorderDxfId="1325">
  <autoFilter ref="A2:U36" xr:uid="{76D3A18D-D239-3D4A-867D-F6B5D46C7FBE}"/>
  <tableColumns count="21">
    <tableColumn id="1" xr3:uid="{AD990F4C-1E15-D64F-8E3B-7DC3A2A4A464}" name=" DATUM" dataDxfId="1324"/>
    <tableColumn id="2" xr3:uid="{B6D19DA9-8CFB-2444-93E0-C07DD61C21D9}" name="DEN" dataDxfId="1323">
      <calculatedColumnFormula>CHOOSE(WEEKDAY(V3),"Po","Út","St","Čt","Pá","So","Ne")</calculatedColumnFormula>
    </tableColumn>
    <tableColumn id="3" xr3:uid="{F2D91902-389C-EA48-B924-2038F2F08BB1}" name="HOD" dataDxfId="1322"/>
    <tableColumn id="4" xr3:uid="{960C97FD-8C90-FD49-9E8B-F11D992555C7}" name="CEL" dataDxfId="1321"/>
    <tableColumn id="20" xr3:uid="{194458F9-E593-8C43-9CF9-E81D855FDF68}" name="OD" dataDxfId="1320"/>
    <tableColumn id="21" xr3:uid="{83DC12BC-CFCB-3449-B499-FB05053991FB}" name="Obĕd" dataDxfId="1319"/>
    <tableColumn id="5" xr3:uid="{84729C30-EEDC-9749-B9F3-849CABFF9C89}" name="DO" dataDxfId="1318"/>
    <tableColumn id="6" xr3:uid="{50516C6F-DBB0-B34F-97F0-C7C12ECABFA3}" name="MĚSTO" dataDxfId="1317"/>
    <tableColumn id="7" xr3:uid="{3A8E3C26-1BEC-784E-B313-62B58A2F8EC6}" name="FIRMA" dataDxfId="1316"/>
    <tableColumn id="8" xr3:uid="{B15CDC0B-2BE4-0F4D-AA36-0FC59A96DE3D}" name="STÁT" dataDxfId="1315"/>
    <tableColumn id="9" xr3:uid="{4D6BB9EE-14C2-6A46-A46A-B35378A9D701}" name="SUPERVISOR" dataDxfId="1314"/>
    <tableColumn id="10" xr3:uid="{FAC44BD4-8CD2-2C4B-A9A6-71A29F25B8A9}" name="FIRMA2" dataDxfId="1313"/>
    <tableColumn id="11" xr3:uid="{15E9D8C9-AD61-A64F-8156-FA53D897D597}" name="AUTO" dataDxfId="1312"/>
    <tableColumn id="12" xr3:uid="{FB16CFC8-50FB-734A-995F-008D95B483F8}" name="OSOB" dataDxfId="1311"/>
    <tableColumn id="13" xr3:uid="{030C873D-82A1-2547-8814-4E7347F63EAF}" name="CELKEM HODIN" dataDxfId="1310"/>
    <tableColumn id="14" xr3:uid="{A5BD6F76-9AFC-DE43-A51D-F0BCD005F58B}" name="Výplatní páska" dataDxfId="1309"/>
    <tableColumn id="15" xr3:uid="{1CD958FB-53CB-C441-8D7D-45858981E236}" name="POSLÁNO NA ÚČET" dataDxfId="1308"/>
    <tableColumn id="16" xr3:uid="{270344FF-0C1A-A344-AA94-57B916E2321E}" name="ÚČET " dataDxfId="1307"/>
    <tableColumn id="17" xr3:uid="{4F5577DC-B66C-7E4C-9AC1-EAA3B16447E5}" name="MĚSÍC" dataDxfId="1306"/>
    <tableColumn id="18" xr3:uid="{45716221-8084-7246-B6C6-460F65F20836}" name="DATUM" dataDxfId="1305"/>
    <tableColumn id="19" xr3:uid="{55191B6A-8C69-5A41-9AD7-A515EC908B93}" name="Mrazák" dataDxfId="1304"/>
  </tableColumns>
  <tableStyleInfo name="TableStyleDark2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9" xr:uid="{9F97E706-0EAF-8944-B202-F60D4B21C1D5}" name="Tabulka414256796242522292831333650" displayName="Tabulka414256796242522292831333650" ref="A2:U36" totalsRowShown="0" headerRowDxfId="1303" dataDxfId="1301" headerRowBorderDxfId="1302" tableBorderDxfId="1300" totalsRowBorderDxfId="1299">
  <autoFilter ref="A2:U36" xr:uid="{76D3A18D-D239-3D4A-867D-F6B5D46C7FBE}"/>
  <tableColumns count="21">
    <tableColumn id="1" xr3:uid="{BB6BB92F-B67B-764F-8885-74D09DF5028C}" name=" DATUM" dataDxfId="1298"/>
    <tableColumn id="2" xr3:uid="{6A42F9FD-411E-CB4A-A960-793DABC065F8}" name="DEN" dataDxfId="1297">
      <calculatedColumnFormula>CHOOSE(WEEKDAY(V3),"Po","Út","St","Čt","Pá","So","Ne")</calculatedColumnFormula>
    </tableColumn>
    <tableColumn id="3" xr3:uid="{1C9E8629-FB8B-6B42-AB59-69FCC6FD5F56}" name="HOD" dataDxfId="1296">
      <calculatedColumnFormula>G3-E3-F3</calculatedColumnFormula>
    </tableColumn>
    <tableColumn id="4" xr3:uid="{A34FB509-B2A8-B545-882E-05A9B1E71987}" name="CEL" dataDxfId="1295">
      <calculatedColumnFormula>(N3*C3)*24</calculatedColumnFormula>
    </tableColumn>
    <tableColumn id="20" xr3:uid="{A7D603C6-724F-DB43-8DCC-9FB20F5D4284}" name="OD" dataDxfId="1294"/>
    <tableColumn id="21" xr3:uid="{80217542-41B2-BD42-B91E-021625B9E43F}" name="Obĕd" dataDxfId="1293">
      <calculatedColumnFormula>TIME(0,30,0)</calculatedColumnFormula>
    </tableColumn>
    <tableColumn id="5" xr3:uid="{C7472F05-B7AF-CB4E-964B-47D111D4BF31}" name="DO" dataDxfId="1292"/>
    <tableColumn id="6" xr3:uid="{26646A56-4A40-7548-B2DF-588AFB22A56C}" name="MĚSTO" dataDxfId="1291"/>
    <tableColumn id="7" xr3:uid="{5E023B0A-C024-3F4D-B321-D6B20ED01D70}" name="FIRMA" dataDxfId="1290"/>
    <tableColumn id="8" xr3:uid="{754C7998-CA24-1F4E-8A2D-A36988E476C4}" name="STÁT" dataDxfId="1289"/>
    <tableColumn id="9" xr3:uid="{6181D80C-DC2D-B04E-BA79-D6B056B37994}" name="SUPERVISOR" dataDxfId="1288"/>
    <tableColumn id="10" xr3:uid="{14F19AC7-7BDA-7E46-928F-15989344D898}" name="FIRMA2" dataDxfId="1287"/>
    <tableColumn id="11" xr3:uid="{58149A34-A77D-104F-BFD8-714CA3CEA75C}" name="AUTO" dataDxfId="1286"/>
    <tableColumn id="12" xr3:uid="{6C9BC64F-4DA5-F74F-B7A4-73B935D0F4F6}" name="OSOB" dataDxfId="1285"/>
    <tableColumn id="13" xr3:uid="{8407F320-2B45-1743-9413-8DFDF5B73BB7}" name="CELKEM HODIN" dataDxfId="1284"/>
    <tableColumn id="14" xr3:uid="{F6DDA2F2-24A2-9D4B-9178-F0CA0B08A7DF}" name="Výplatní páska" dataDxfId="1283"/>
    <tableColumn id="15" xr3:uid="{84B9E850-6063-8444-AB79-BFD2FA280F11}" name="POSLÁNO NA ÚČET" dataDxfId="1282"/>
    <tableColumn id="16" xr3:uid="{15A08D5C-32D8-D949-B2B9-2D2BE2633C34}" name="ÚČET " dataDxfId="1281"/>
    <tableColumn id="17" xr3:uid="{AA264DC9-F86D-FD4A-B433-174E3F0F79F8}" name="MĚSÍC" dataDxfId="1280"/>
    <tableColumn id="18" xr3:uid="{D0F73BBC-D519-364E-A110-FBA3B4281B2B}" name="DATUM" dataDxfId="1279"/>
    <tableColumn id="19" xr3:uid="{4D1382F1-9532-CF4C-B2CD-37E3EC0FD119}" name="Mrazák" dataDxfId="1278"/>
  </tableColumns>
  <tableStyleInfo name="TableStyleDark2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8" xr:uid="{9AC41B29-607C-504F-968A-2F91A017C928}" name="Tabulka12153510111823262732342735444852585966676869" displayName="Tabulka12153510111823262732342735444852585966676869" ref="A2:AG42" totalsRowShown="0" headerRowDxfId="1277" dataDxfId="1276" tableBorderDxfId="1275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DEF807D1-3DFF-2E43-876C-336C28EBD001}" name="Kartou" dataDxfId="1274"/>
    <tableColumn id="2" xr3:uid="{91DBD16D-3733-384F-867F-68F4F673D81A}" name="Datum" dataDxfId="1273"/>
    <tableColumn id="3" xr3:uid="{C762FF9C-1423-3A4A-8092-85470E15DE88}" name="Hotově" dataDxfId="1272"/>
    <tableColumn id="4" xr3:uid="{FF552E5D-F6A9-EA46-8521-ADBBFC6EBC9A}" name="Kartou " dataDxfId="1271"/>
    <tableColumn id="5" xr3:uid="{3656A763-D4FF-6F4E-9D64-A1E2D6675077}" name="Datum " dataDxfId="1270"/>
    <tableColumn id="6" xr3:uid="{BDF43DAE-22F0-274A-9560-99AC9E033F1A}" name="Hotově " dataDxfId="1269"/>
    <tableColumn id="7" xr3:uid="{B9CDFF90-7A0A-C746-869B-341982FA354D}" name="Hotově  " dataDxfId="1268"/>
    <tableColumn id="8" xr3:uid="{3E63B3DF-BBA5-1B48-87B3-1C5B53C82D38}" name="Kartou  " dataDxfId="1267"/>
    <tableColumn id="9" xr3:uid="{92F2C8E1-A317-FC43-9482-C8976DC77CCE}" name="Hotově   " dataDxfId="1266"/>
    <tableColumn id="10" xr3:uid="{D470DBC7-8C10-C34E-8F83-A457478F6034}" name="Datum   " dataDxfId="1265"/>
    <tableColumn id="11" xr3:uid="{E86964E0-45B0-3D4B-8A7A-9D59574249C4}" name="Kartou   " dataDxfId="1264"/>
    <tableColumn id="12" xr3:uid="{5E7F1C9A-B595-7741-9E59-81DD38AE49A6}" name="CZE" dataDxfId="1263"/>
    <tableColumn id="13" xr3:uid="{83DD8776-952A-694B-9BFC-A0EF011AE64C}" name="POPIS" dataDxfId="1262"/>
    <tableColumn id="14" xr3:uid="{E24C9D5F-B669-F241-AE57-BA5569170FA1}" name="EURO" dataDxfId="1261"/>
    <tableColumn id="15" xr3:uid="{11B8DBB9-E8C0-A141-BC8C-0FE7376087B8}" name="EURO " dataDxfId="1260">
      <calculatedColumnFormula>AG44-AK6-AI3</calculatedColumnFormula>
    </tableColumn>
    <tableColumn id="16" xr3:uid="{7A0006BE-6E90-5642-80ED-2CF02E0B25D6}" name="CZE " dataDxfId="1259"/>
    <tableColumn id="17" xr3:uid="{8D811DD1-C87E-DE4C-92BA-7ADB58293992}" name="Jiří Horčička" dataDxfId="1258"/>
    <tableColumn id="18" xr3:uid="{421CC509-F2D7-E44D-AFC6-6F75EC0AD95B}" name=" Datum" dataDxfId="1257"/>
    <tableColumn id="19" xr3:uid="{B8430103-0E16-5249-9D2E-C6491D50894A}" name="Jan Horčička" dataDxfId="1256"/>
    <tableColumn id="20" xr3:uid="{380BA570-C99A-B540-986C-40DBDBC9DF6B}" name="  Datum" dataDxfId="1255"/>
    <tableColumn id="21" xr3:uid="{A846DDE0-9AF0-9049-BEF7-8F1A1E1E0ECC}" name="xx" dataDxfId="1254"/>
    <tableColumn id="22" xr3:uid="{D43F4CF6-E998-FC4A-81E0-D74D5E11F9BC}" name=" Datum " dataDxfId="1253"/>
    <tableColumn id="35" xr3:uid="{AAB05A0C-1782-934F-9730-3BB56D57FCC6}" name="x" dataDxfId="1252"/>
    <tableColumn id="36" xr3:uid="{7721BA39-A67F-5144-A3E0-58B782CBF421}" name=" Datum  " dataDxfId="1251"/>
    <tableColumn id="33" xr3:uid="{E8242510-4C81-794C-A093-355B216CCEC3}" name="1" dataDxfId="1250"/>
    <tableColumn id="34" xr3:uid="{E48D1039-A2D3-9C46-9EE5-ED4B5B5624C2}" name="  Datum  " dataDxfId="1249"/>
    <tableColumn id="23" xr3:uid="{FF4B5CA7-83EA-AA43-97DC-E4DAD2A7E615}" name="4" dataDxfId="1248"/>
    <tableColumn id="24" xr3:uid="{C3A6A281-8D05-C443-ACE6-C1F31D15711B}" name="  Datum " dataDxfId="1247"/>
    <tableColumn id="25" xr3:uid="{B66D3E7C-BCC3-AB4E-915A-256AE4FB10ED}" name="7" dataDxfId="1246"/>
    <tableColumn id="26" xr3:uid="{8F1B0452-F3AE-4B44-90EF-E1FEEA908475}" name="  Datum   " dataDxfId="1245"/>
    <tableColumn id="27" xr3:uid="{B17A207F-3F57-5F4A-977E-61F8ACBDC6AA}" name="CZE," dataDxfId="1244"/>
    <tableColumn id="28" xr3:uid="{353EC2E9-E3AF-D44B-9C49-7CF692B30237}" name="   DATUM " dataDxfId="1243"/>
    <tableColumn id="29" xr3:uid="{93211866-E185-6A4A-869D-57E729A206AC}" name="EURO," dataDxfId="1242">
      <calculatedColumnFormula>'03cash22'!AI3</calculatedColumnFormula>
    </tableColumn>
  </tableColumns>
  <tableStyleInfo name="TableStyleDark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43CA673D-4C60-9949-AA89-986D300B87C0}" name="Tabulka1215351011182326" displayName="Tabulka1215351011182326" ref="A2:AG33" totalsRowShown="0" headerRowDxfId="2043" dataDxfId="2042" tableBorderDxfId="2041">
  <autoFilter ref="A2:AG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B466968C-45CE-6042-9966-CC62D483515C}" name="Kartou" dataDxfId="2040"/>
    <tableColumn id="2" xr3:uid="{8008318D-32EC-3145-AE89-6612BEA65A4E}" name="Datum" dataDxfId="2039"/>
    <tableColumn id="3" xr3:uid="{2F784F63-E75B-E544-9F37-1B29C0E5F5BA}" name="Hotově" dataDxfId="2038"/>
    <tableColumn id="4" xr3:uid="{8563CB7D-9940-C746-882F-8BBD2A47C7B4}" name="Kartou " dataDxfId="2037"/>
    <tableColumn id="5" xr3:uid="{B499E32F-60F6-E147-AA39-7326CD64A017}" name="Datum " dataDxfId="2036"/>
    <tableColumn id="6" xr3:uid="{3693128F-5741-6142-AED8-9EA03CCD46FB}" name="Hotově " dataDxfId="2035"/>
    <tableColumn id="7" xr3:uid="{C594EFA9-2B01-734C-8362-DDF078C99651}" name="Hotově  " dataDxfId="2034"/>
    <tableColumn id="8" xr3:uid="{85D3007D-4210-DA41-B683-68AB45299F77}" name="Kartou  " dataDxfId="2033"/>
    <tableColumn id="9" xr3:uid="{0F57C65D-EC4F-AC40-A4C9-1C4E110039BF}" name="Hotově   " dataDxfId="2032"/>
    <tableColumn id="10" xr3:uid="{C34359E4-EDA9-344B-B1DF-F481EE8D4297}" name="Datum   " dataDxfId="2031"/>
    <tableColumn id="11" xr3:uid="{5C1729CA-EFF0-304A-88AF-A2AC418EC359}" name="Kartou   " dataDxfId="2030"/>
    <tableColumn id="12" xr3:uid="{31DA2836-7BA2-9C4E-ABF4-E76CB958E1DF}" name="CZE" dataDxfId="2029"/>
    <tableColumn id="13" xr3:uid="{15AF08E4-A152-5D48-9E6D-0F649B5D65B9}" name="POPIS" dataDxfId="2028"/>
    <tableColumn id="14" xr3:uid="{86639A1C-B3F0-B342-BF1A-77350B89922A}" name="EURO" dataDxfId="2027"/>
    <tableColumn id="15" xr3:uid="{F36F6AC5-0032-2447-8B4E-816412A8F45C}" name="EURO " dataDxfId="2026">
      <calculatedColumnFormula>AG35-AK6-AI3</calculatedColumnFormula>
    </tableColumn>
    <tableColumn id="16" xr3:uid="{616EDCEE-FB5E-424F-BBEF-6C6B110FD046}" name="CZE " dataDxfId="2025"/>
    <tableColumn id="17" xr3:uid="{C4C52F03-FE7B-C343-BC8A-398F52FD5371}" name="Volák" dataDxfId="2024"/>
    <tableColumn id="18" xr3:uid="{B44CE0D1-A60B-C141-A268-890F364E8027}" name=" Datum" dataDxfId="2023"/>
    <tableColumn id="19" xr3:uid="{274B9486-5026-4F4E-A5CB-278BCAF9724F}" name="Zoulič" dataDxfId="2022"/>
    <tableColumn id="20" xr3:uid="{6BA381B5-F789-B74A-BA0A-B83BD7378C23}" name="  Datum" dataDxfId="2021"/>
    <tableColumn id="21" xr3:uid="{4C894E1B-CD44-F645-B2A5-398070861E72}" name="Martin Jirus" dataDxfId="2020"/>
    <tableColumn id="22" xr3:uid="{064A3D40-7197-1846-AF0F-1F5CBBD3CC85}" name=" Datum " dataDxfId="2019"/>
    <tableColumn id="35" xr3:uid="{5086FB0D-F504-2E41-8B88-28983E1C0E41}" name="Varmus" dataDxfId="2018"/>
    <tableColumn id="36" xr3:uid="{63D7A3F8-37E1-BE49-ACAA-21C632BB33B8}" name=" Datum  " dataDxfId="2017"/>
    <tableColumn id="33" xr3:uid="{5F42C5B6-5F83-1046-862B-E275C88F04A0}" name="Tomáš Becka" dataDxfId="2016"/>
    <tableColumn id="34" xr3:uid="{B4A15981-7D42-CF45-A009-2D7C3F4B3C86}" name="  Datum  " dataDxfId="2015"/>
    <tableColumn id="23" xr3:uid="{C2E47B17-549A-F24B-9FCD-DC5E52837F90}" name="Jiří Čermák" dataDxfId="2014"/>
    <tableColumn id="24" xr3:uid="{A2AAE738-B75D-EC4C-8F1F-8A88A851B521}" name="  Datum " dataDxfId="2013"/>
    <tableColumn id="25" xr3:uid="{17B170F2-9C91-3046-86B8-11E2FBDF165B}" name="Saša " dataDxfId="2012"/>
    <tableColumn id="26" xr3:uid="{BC32AE42-2803-5847-B86C-D386A26D1A06}" name="  Datum   " dataDxfId="2011"/>
    <tableColumn id="27" xr3:uid="{75C03E9F-31C2-C847-B4F4-B60CF09D898E}" name="CZE," dataDxfId="2010"/>
    <tableColumn id="28" xr3:uid="{1973AE2C-6B3E-DE4D-8284-5F2D0FD8495E}" name="   DATUM " dataDxfId="2009"/>
    <tableColumn id="29" xr3:uid="{875B36BA-6BA6-2E45-9107-246E44CE6A07}" name="EURO," dataDxfId="2008"/>
  </tableColumns>
  <tableStyleInfo name="TableStyleDark2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7" xr:uid="{ABE210E7-DC82-524A-B315-9E2C5B6C22F7}" name="Tabulka121535101118232627323427354448525859666768" displayName="Tabulka121535101118232627323427354448525859666768" ref="A2:AG42" totalsRowShown="0" headerRowDxfId="1241" dataDxfId="1240" tableBorderDxfId="1239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51C47DF6-2180-C940-9A03-CDF4399CC4B2}" name="Kartou" dataDxfId="1238"/>
    <tableColumn id="2" xr3:uid="{10792BC6-2286-D24E-B5CB-7CE10C5329D8}" name="Datum" dataDxfId="1237"/>
    <tableColumn id="3" xr3:uid="{DC52EA38-53F9-914E-A9E7-56E33DBCAF23}" name="Hotově" dataDxfId="1236"/>
    <tableColumn id="4" xr3:uid="{69893F4F-D439-C14A-8DAA-65FC3D76E95D}" name="Kartou " dataDxfId="1235"/>
    <tableColumn id="5" xr3:uid="{C769FD31-0D39-E54D-A164-25648AAF01A5}" name="Datum " dataDxfId="1234"/>
    <tableColumn id="6" xr3:uid="{66FB4D85-1D12-D848-A85E-4C877218BF5C}" name="Hotově " dataDxfId="1233"/>
    <tableColumn id="7" xr3:uid="{A0AB7575-338C-5644-AD93-8085A13F167F}" name="Hotově  " dataDxfId="1232"/>
    <tableColumn id="8" xr3:uid="{598A63A8-26D4-DA47-AA0A-DD8DD24FEE28}" name="Kartou  " dataDxfId="1231"/>
    <tableColumn id="9" xr3:uid="{D49D446B-7C3A-B64A-B2DD-EC869258D812}" name="Hotově   " dataDxfId="1230"/>
    <tableColumn id="10" xr3:uid="{2505CD23-9229-A64D-B05D-B8BB4787C4B7}" name="Datum   " dataDxfId="1229"/>
    <tableColumn id="11" xr3:uid="{70D92E75-3471-A248-B089-869D08F64455}" name="Kartou   " dataDxfId="1228"/>
    <tableColumn id="12" xr3:uid="{70A46C0A-4B93-7149-B34E-13F04B574976}" name="CZE" dataDxfId="1227"/>
    <tableColumn id="13" xr3:uid="{97881F6D-ACDE-6F4D-AD8D-145DB78531A9}" name="POPIS" dataDxfId="1226"/>
    <tableColumn id="14" xr3:uid="{FB658314-204E-114B-B28F-7CD644409F74}" name="EURO" dataDxfId="1225"/>
    <tableColumn id="15" xr3:uid="{81AA5C5E-FFAC-0543-B99B-6E70823C4767}" name="EURO " dataDxfId="1224">
      <calculatedColumnFormula>AG44-AK6-AI3</calculatedColumnFormula>
    </tableColumn>
    <tableColumn id="16" xr3:uid="{A5E9A14F-4BE0-AE4C-81FD-C529D0917D0E}" name="CZE " dataDxfId="1223"/>
    <tableColumn id="17" xr3:uid="{6CE87BFE-73E0-BA46-A18D-FBD35EB1555C}" name="Jiří Horčička" dataDxfId="1222"/>
    <tableColumn id="18" xr3:uid="{605F150F-CDD6-1A4B-A139-94AF8852E5DB}" name=" Datum" dataDxfId="1221"/>
    <tableColumn id="19" xr3:uid="{55DEB8B8-3F00-8F47-B308-036E67F7F956}" name="Jan Horčička" dataDxfId="1220"/>
    <tableColumn id="20" xr3:uid="{96F07D5C-C94C-3A48-B11E-44B1066C0529}" name="  Datum" dataDxfId="1219"/>
    <tableColumn id="21" xr3:uid="{1AB493E9-B1ED-A44F-B847-DC461648389F}" name="xx" dataDxfId="1218"/>
    <tableColumn id="22" xr3:uid="{360D7F58-C465-D54A-A14E-7AFADFF57603}" name=" Datum " dataDxfId="1217"/>
    <tableColumn id="35" xr3:uid="{77207DD9-BA69-8540-A4CE-937516B50E5F}" name="x" dataDxfId="1216"/>
    <tableColumn id="36" xr3:uid="{7F98D376-7B78-A341-8D98-C73140BF9B95}" name=" Datum  " dataDxfId="1215"/>
    <tableColumn id="33" xr3:uid="{578CA084-F44A-CD4C-A92C-AFF9AC531522}" name="1" dataDxfId="1214"/>
    <tableColumn id="34" xr3:uid="{468617E5-7A86-534A-892A-F9A8CA167275}" name="  Datum  " dataDxfId="1213"/>
    <tableColumn id="23" xr3:uid="{47D88354-AA47-AF4F-BF21-2CA5E60C98F8}" name="4" dataDxfId="1212"/>
    <tableColumn id="24" xr3:uid="{C65684D1-B690-8440-AF07-3C19DF9DECD1}" name="  Datum " dataDxfId="1211"/>
    <tableColumn id="25" xr3:uid="{60C35BA6-0413-8249-BFC8-C2A23BE27B58}" name="7" dataDxfId="1210"/>
    <tableColumn id="26" xr3:uid="{C6F5249A-0A51-5A47-85F6-313B5956CD65}" name="  Datum   " dataDxfId="1209"/>
    <tableColumn id="27" xr3:uid="{6C9A0448-4783-5A49-9376-3CA458BB29F1}" name="CZE," dataDxfId="1208"/>
    <tableColumn id="28" xr3:uid="{D422E992-2527-E341-BAAA-540ED8E2A5DF}" name="   DATUM " dataDxfId="1207"/>
    <tableColumn id="29" xr3:uid="{D3FAD4AD-FC57-6C42-B8C6-581DE8619C45}" name="EURO," dataDxfId="1206">
      <calculatedColumnFormula>'03cash22'!AI3</calculatedColumnFormula>
    </tableColumn>
  </tableColumns>
  <tableStyleInfo name="TableStyleDark2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6" xr:uid="{B57CB271-3AE8-7143-9F41-2BC2AA929E28}" name="Tabulka1215351011182326273234273544485258596667" displayName="Tabulka1215351011182326273234273544485258596667" ref="A2:AG42" totalsRowShown="0" headerRowDxfId="1205" dataDxfId="1204" tableBorderDxfId="1203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CE29FB6A-C8F3-4F4A-990A-875DEEC78ACA}" name="Kartou" dataDxfId="1202"/>
    <tableColumn id="2" xr3:uid="{468F5169-37BD-5342-8379-687F90674590}" name="Datum" dataDxfId="1201"/>
    <tableColumn id="3" xr3:uid="{BEC65136-9E1D-6543-B3D0-E5A68089F770}" name="Hotově" dataDxfId="1200"/>
    <tableColumn id="4" xr3:uid="{764AC36D-EAEC-1744-BF35-164B175CC57D}" name="Kartou " dataDxfId="1199"/>
    <tableColumn id="5" xr3:uid="{DCC73584-FE02-0941-B435-5182F88DBBD6}" name="Datum " dataDxfId="1198"/>
    <tableColumn id="6" xr3:uid="{0D10C80A-E641-FC46-B546-9369FAD00285}" name="Hotově " dataDxfId="1197"/>
    <tableColumn id="7" xr3:uid="{15401FB1-433B-A54C-8654-9FC88601C1CF}" name="Hotově  " dataDxfId="1196"/>
    <tableColumn id="8" xr3:uid="{4809AB40-DB7F-104D-B96D-21DCC67E5616}" name="Kartou  " dataDxfId="1195"/>
    <tableColumn id="9" xr3:uid="{4A15B595-F030-9B4F-BD71-301889023C1D}" name="Hotově   " dataDxfId="1194"/>
    <tableColumn id="10" xr3:uid="{49492082-8449-3441-AD10-6A932700EA9B}" name="Datum   " dataDxfId="1193"/>
    <tableColumn id="11" xr3:uid="{93407D93-CDE7-464B-8258-F7BF05F1E38A}" name="Kartou   " dataDxfId="1192"/>
    <tableColumn id="12" xr3:uid="{04B90E0E-883B-3F48-A95D-CCE85F783859}" name="CZE" dataDxfId="1191"/>
    <tableColumn id="13" xr3:uid="{E80B4D71-1B9D-7A4A-B105-B1A2EF14C3A6}" name="POPIS" dataDxfId="1190"/>
    <tableColumn id="14" xr3:uid="{3D69AFAE-65A4-3546-B001-966CCE48962C}" name="EURO" dataDxfId="1189"/>
    <tableColumn id="15" xr3:uid="{FE37DFB5-9D17-A440-AFAE-1720320CFBAF}" name="EURO " dataDxfId="1188">
      <calculatedColumnFormula>AG44-AK6-AI3</calculatedColumnFormula>
    </tableColumn>
    <tableColumn id="16" xr3:uid="{DA166047-2184-6B46-AC90-5BF56B9B95EC}" name="CZE " dataDxfId="1187"/>
    <tableColumn id="17" xr3:uid="{8C593F90-5CEC-154F-A505-F701671D9B11}" name="Pavel Dron" dataDxfId="1186"/>
    <tableColumn id="18" xr3:uid="{F95F67A0-DED6-5743-A344-3A1ADB7A2F72}" name=" Datum" dataDxfId="1185"/>
    <tableColumn id="19" xr3:uid="{C1CBBDF7-8C06-1F47-87E8-DEE34F200811}" name="xxx" dataDxfId="1184"/>
    <tableColumn id="20" xr3:uid="{9A2F1ED3-1F49-7B41-A84C-B3308715E765}" name="  Datum" dataDxfId="1183"/>
    <tableColumn id="21" xr3:uid="{F91584F9-D42B-034F-96B7-862E4164A124}" name="xx" dataDxfId="1182"/>
    <tableColumn id="22" xr3:uid="{92528D22-91D9-CA4A-9104-DF2264E74688}" name=" Datum " dataDxfId="1181"/>
    <tableColumn id="35" xr3:uid="{76A8C1C9-47EB-6348-8494-21FC2DDAECFF}" name="x" dataDxfId="1180"/>
    <tableColumn id="36" xr3:uid="{B7D36E55-A9D9-4045-9E4C-436F768BFE44}" name=" Datum  " dataDxfId="1179"/>
    <tableColumn id="33" xr3:uid="{8CBB45FE-88EC-474D-B640-8C834C769B6E}" name="1" dataDxfId="1178"/>
    <tableColumn id="34" xr3:uid="{12BA2359-7308-FB42-B160-5943012134DF}" name="  Datum  " dataDxfId="1177"/>
    <tableColumn id="23" xr3:uid="{39508D2A-6452-4842-8E3B-449358D84753}" name="4" dataDxfId="1176"/>
    <tableColumn id="24" xr3:uid="{5D45EDD7-DA5E-C049-A144-44A877B6453D}" name="  Datum " dataDxfId="1175"/>
    <tableColumn id="25" xr3:uid="{E02BBCC3-F854-4F42-B022-8FD43A97F21E}" name="7" dataDxfId="1174"/>
    <tableColumn id="26" xr3:uid="{41019E67-AC84-E34C-811B-FAE467F8B6FA}" name="  Datum   " dataDxfId="1173"/>
    <tableColumn id="27" xr3:uid="{F8D0B90E-0F38-E54A-91BB-04EB21525889}" name="CZE," dataDxfId="1172"/>
    <tableColumn id="28" xr3:uid="{012EF30A-2EBB-844F-B3B2-3C3B1DA119F2}" name="   DATUM " dataDxfId="1171"/>
    <tableColumn id="29" xr3:uid="{0882F5FE-57D0-0F47-AA39-EA1AFD93134F}" name="EURO," dataDxfId="1170">
      <calculatedColumnFormula>'03cash22'!AI3</calculatedColumnFormula>
    </tableColumn>
  </tableColumns>
  <tableStyleInfo name="TableStyleDark2" showFirstColumn="0" showLastColumn="0" showRowStripes="1" showColumnStripes="0"/>
</table>
</file>

<file path=xl/tables/table3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1" xr:uid="{FEC35B25-B84C-47B6-BF7B-50FE50523687}" name="Tabulka414256796242522292831333649657172" displayName="Tabulka414256796242522292831333649657172" ref="A2:U36" totalsRowShown="0" headerRowDxfId="113" dataDxfId="112" headerRowBorderDxfId="110" tableBorderDxfId="111" totalsRowBorderDxfId="109">
  <autoFilter ref="A2:U36" xr:uid="{76D3A18D-D239-3D4A-867D-F6B5D46C7FBE}"/>
  <tableColumns count="21">
    <tableColumn id="1" xr3:uid="{EEB9B1D4-3C8B-4C60-9587-A5E7CD862354}" name=" DATUM" dataDxfId="108"/>
    <tableColumn id="2" xr3:uid="{D4EE4C56-A3C5-4F15-89CC-8EF53B54511D}" name="DEN" dataDxfId="107">
      <calculatedColumnFormula>CHOOSE(WEEKDAY(V3),"Po","Út","St","Čt","Pá","So","Ne")</calculatedColumnFormula>
    </tableColumn>
    <tableColumn id="3" xr3:uid="{FF7A13AA-358E-4D2A-8015-29016D12C28B}" name="HOD" dataDxfId="106">
      <calculatedColumnFormula>G3-E3-F3</calculatedColumnFormula>
    </tableColumn>
    <tableColumn id="4" xr3:uid="{61BCAA78-11C9-4F0B-A7B9-D5E78EA2DF53}" name="CEL" dataDxfId="105">
      <calculatedColumnFormula>(N3*C3)*24</calculatedColumnFormula>
    </tableColumn>
    <tableColumn id="20" xr3:uid="{F6A32D81-50F8-4B4F-BF93-A8C97A37F0DF}" name="OD" dataDxfId="104"/>
    <tableColumn id="21" xr3:uid="{C172C6BC-735B-4F96-A846-53B240DB40A4}" name="Obĕd" dataDxfId="103">
      <calculatedColumnFormula>O32</calculatedColumnFormula>
    </tableColumn>
    <tableColumn id="5" xr3:uid="{1BBF8466-BC23-4912-8D17-AF55EB432EF0}" name="DO" dataDxfId="102"/>
    <tableColumn id="6" xr3:uid="{CA903412-10B1-49D3-B340-CAAB22319575}" name="MĚSTO" dataDxfId="101"/>
    <tableColumn id="7" xr3:uid="{270B7780-4F4F-4586-8A34-F1D0DC90300B}" name="FIRMA" dataDxfId="100"/>
    <tableColumn id="8" xr3:uid="{1DE4A7CD-3099-4342-BD28-4CB07016F80D}" name="STÁT" dataDxfId="99"/>
    <tableColumn id="9" xr3:uid="{0597BC7A-85D8-4224-B29E-079FA781619A}" name="SUPERVISOR" dataDxfId="98"/>
    <tableColumn id="10" xr3:uid="{AB96A9BC-8A8D-4C10-8286-79B409DB2CD4}" name="FIRMA2" dataDxfId="97"/>
    <tableColumn id="11" xr3:uid="{1B729DD8-1685-4A6D-AA17-CFEB45F24FC7}" name="AUTO" dataDxfId="96"/>
    <tableColumn id="12" xr3:uid="{93935B3E-CAE3-4877-9E03-63412058FCA8}" name="OSOB" dataDxfId="95"/>
    <tableColumn id="13" xr3:uid="{6C7845FF-14C1-4E55-87D9-B885F74D3D4B}" name="CELKEM HODIN" dataDxfId="94"/>
    <tableColumn id="14" xr3:uid="{7CD95353-72C4-4E54-870A-008CF0952254}" name="Výplatní páska" dataDxfId="93"/>
    <tableColumn id="15" xr3:uid="{C9BD277E-B75E-4248-A66E-2F3B758BE206}" name="POSLÁNO NA ÚČET" dataDxfId="92"/>
    <tableColumn id="16" xr3:uid="{C0B9967E-030B-482B-ACAA-5BD8A4DA5FFD}" name="ÚČET " dataDxfId="91"/>
    <tableColumn id="17" xr3:uid="{75C199E0-667F-4CE5-B8D3-DDE85FEEC002}" name="MĚSÍC" dataDxfId="90"/>
    <tableColumn id="18" xr3:uid="{D66F9831-8D6C-4FF4-9F8A-94BA8E3183A8}" name="DATUM" dataDxfId="89"/>
    <tableColumn id="19" xr3:uid="{D6157704-53FC-4514-96AB-C0B374BE02F6}" name="Mrazák" dataDxfId="88"/>
  </tableColumns>
  <tableStyleInfo name="TableStyleDark2" showFirstColumn="0" showLastColumn="0" showRowStripes="1" showColumnStripes="0"/>
</table>
</file>

<file path=xl/tables/table3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2" xr:uid="{48F56783-FB1B-48D5-BEAF-B26B0BFDB92A}" name="Tabulka1215351011182326273234273544485258596667686973" displayName="Tabulka1215351011182326273234273544485258596667686973" ref="A2:AG42" totalsRowShown="0" headerRowDxfId="87" dataDxfId="86" tableBorderDxfId="85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6D4F1EE3-5E1A-4356-8AFD-BAADAC7ECA0A}" name="Kartou" dataDxfId="84"/>
    <tableColumn id="2" xr3:uid="{09FA2C7F-014D-4652-A823-A720D497A471}" name="Datum" dataDxfId="83"/>
    <tableColumn id="3" xr3:uid="{27C887C3-BAC3-4980-9680-D96EDED5DE9A}" name="Hotově" dataDxfId="82"/>
    <tableColumn id="4" xr3:uid="{3B800203-C547-4DF0-8168-2BE9096A7DB6}" name="Kartou " dataDxfId="81"/>
    <tableColumn id="5" xr3:uid="{E31CE615-F259-4479-923A-D7C9F52C7F55}" name="Datum " dataDxfId="80"/>
    <tableColumn id="6" xr3:uid="{43F066D4-C5FA-4E13-876C-E053B9C782CF}" name="Hotově " dataDxfId="79"/>
    <tableColumn id="7" xr3:uid="{566FCFB2-9B78-4C37-9F9E-310D17EA5488}" name="Hotově  " dataDxfId="78"/>
    <tableColumn id="8" xr3:uid="{35611996-2117-458A-8F75-666E6ED26588}" name="Kartou  " dataDxfId="77"/>
    <tableColumn id="9" xr3:uid="{AE6B3126-88C7-4038-8DFB-E654383DDB33}" name="Hotově   " dataDxfId="76"/>
    <tableColumn id="10" xr3:uid="{8B413E68-52A1-4C66-AE2F-B7CC1E2CF622}" name="Datum   " dataDxfId="75"/>
    <tableColumn id="11" xr3:uid="{ADE13E31-C354-4F83-9BD8-BAE561839E36}" name="Kartou   " dataDxfId="74"/>
    <tableColumn id="12" xr3:uid="{856B6684-A369-4008-A25D-E608294224E4}" name="CZE" dataDxfId="73"/>
    <tableColumn id="13" xr3:uid="{7AACCA88-AFEE-45D2-B84B-41EF6E379FA6}" name="POPIS" dataDxfId="72"/>
    <tableColumn id="14" xr3:uid="{D7AD2F97-C822-4615-B692-88CF9BFF3052}" name="EURO" dataDxfId="71"/>
    <tableColumn id="15" xr3:uid="{4619FDDE-C56E-4CF8-BC66-D9E04828D46C}" name="EURO " dataDxfId="70">
      <calculatedColumnFormula>AG44-AK6-AI3</calculatedColumnFormula>
    </tableColumn>
    <tableColumn id="16" xr3:uid="{16579372-1124-4BDF-9D5A-F0BCA0153CFC}" name="CZE " dataDxfId="69"/>
    <tableColumn id="17" xr3:uid="{03D86B96-378C-4F8E-B8E3-9533323FDEF3}" name="Jiří Horčička" dataDxfId="68"/>
    <tableColumn id="18" xr3:uid="{CEDBCA12-76C9-4FA0-944A-D8413A284440}" name=" Datum" dataDxfId="67"/>
    <tableColumn id="19" xr3:uid="{E30F24C7-86CC-439B-AA97-8920E5EEF8D0}" name="Jan Horčička" dataDxfId="66"/>
    <tableColumn id="20" xr3:uid="{B0CFF935-F812-4FA6-9370-48F5C9C88CF8}" name="  Datum" dataDxfId="65"/>
    <tableColumn id="21" xr3:uid="{1DE0C4BA-91AC-41C4-BC49-9909F2B19466}" name="xx" dataDxfId="64"/>
    <tableColumn id="22" xr3:uid="{1F92C601-9696-4962-836E-A429C8070E23}" name=" Datum " dataDxfId="63"/>
    <tableColumn id="35" xr3:uid="{5C9F23B6-446F-4AB7-BED4-FF6EC1E9C784}" name="x" dataDxfId="62"/>
    <tableColumn id="36" xr3:uid="{3F15950F-3F4A-4A8D-9F01-ECA3281D1996}" name=" Datum  " dataDxfId="61"/>
    <tableColumn id="33" xr3:uid="{97A29997-C545-4640-96E1-ADC7EF9469BB}" name="1" dataDxfId="60"/>
    <tableColumn id="34" xr3:uid="{7A77C763-0B5B-4005-A8AF-7B272276EA18}" name="  Datum  " dataDxfId="59"/>
    <tableColumn id="23" xr3:uid="{A3D4A2F9-6D04-49DB-857F-CCADCFBC797A}" name="4" dataDxfId="58"/>
    <tableColumn id="24" xr3:uid="{FB117B40-0BBB-406F-9748-D78ABEA93428}" name="  Datum " dataDxfId="57"/>
    <tableColumn id="25" xr3:uid="{170BD30C-CED7-48DA-9EF6-07F74BABC6B6}" name="7" dataDxfId="56"/>
    <tableColumn id="26" xr3:uid="{253DA849-6AFF-42CE-8D88-4A819FE5C91E}" name="  Datum   " dataDxfId="55"/>
    <tableColumn id="27" xr3:uid="{DEDF1C33-F85D-40DC-AFE8-9793B45D4415}" name="CZE," dataDxfId="54"/>
    <tableColumn id="28" xr3:uid="{085115E6-665C-46D1-8617-DED0E58846C4}" name="   DATUM " dataDxfId="53"/>
    <tableColumn id="29" xr3:uid="{437ED468-539A-43FA-B286-6DEB9389B325}" name="EURO," dataDxfId="52">
      <calculatedColumnFormula>'03cash22'!AI3</calculatedColumnFormula>
    </tableColumn>
  </tableColumns>
  <tableStyleInfo name="TableStyleDark2" showFirstColumn="0" showLastColumn="0" showRowStripes="1" showColumnStripes="0"/>
</table>
</file>

<file path=xl/tables/table3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0" xr:uid="{C7F999EC-5059-49D6-B5BD-21B59610326A}" name="Tabulka4142567962425222928313336496571" displayName="Tabulka4142567962425222928313336496571" ref="A2:U36" totalsRowShown="0" headerRowDxfId="139" dataDxfId="138" headerRowBorderDxfId="136" tableBorderDxfId="137" totalsRowBorderDxfId="135">
  <autoFilter ref="A2:U36" xr:uid="{76D3A18D-D239-3D4A-867D-F6B5D46C7FBE}"/>
  <tableColumns count="21">
    <tableColumn id="1" xr3:uid="{2F45CAB4-0593-4211-9600-0BAFD260FF1F}" name=" DATUM" dataDxfId="134"/>
    <tableColumn id="2" xr3:uid="{8DD29E05-6669-47F4-B355-32B252C846C9}" name="DEN" dataDxfId="133">
      <calculatedColumnFormula>CHOOSE(WEEKDAY(V3),"Po","Út","St","Čt","Pá","So","Ne")</calculatedColumnFormula>
    </tableColumn>
    <tableColumn id="3" xr3:uid="{108C7BB1-99B0-4E4B-A3C4-A9591B6CE3D9}" name="HOD" dataDxfId="132">
      <calculatedColumnFormula>G3-E3-F3</calculatedColumnFormula>
    </tableColumn>
    <tableColumn id="4" xr3:uid="{3E0A4E88-A009-4910-8E44-5AA7DEAC6971}" name="CEL" dataDxfId="131">
      <calculatedColumnFormula>(N3*C3)*24</calculatedColumnFormula>
    </tableColumn>
    <tableColumn id="20" xr3:uid="{C57D7890-81E4-4337-8702-D8FD2F45F8A0}" name="OD" dataDxfId="130"/>
    <tableColumn id="21" xr3:uid="{B1805C45-FCF3-4E0D-8E99-1A2FB9D8A685}" name="Obĕd" dataDxfId="129">
      <calculatedColumnFormula>O32</calculatedColumnFormula>
    </tableColumn>
    <tableColumn id="5" xr3:uid="{FDAF93DF-1263-45B8-89FF-824B1E58AEB7}" name="DO" dataDxfId="128"/>
    <tableColumn id="6" xr3:uid="{6CA58761-8069-477E-A112-012FDBDCA32C}" name="MĚSTO" dataDxfId="127"/>
    <tableColumn id="7" xr3:uid="{BC268B81-CF98-4016-B378-9555B7FA0B1A}" name="FIRMA" dataDxfId="126"/>
    <tableColumn id="8" xr3:uid="{84E68695-9526-468D-BEAA-A76A3E925711}" name="STÁT" dataDxfId="125"/>
    <tableColumn id="9" xr3:uid="{8AAC06D1-CADF-4B15-B973-45CF607E53B8}" name="SUPERVISOR" dataDxfId="124"/>
    <tableColumn id="10" xr3:uid="{E122BA08-2C85-4D7E-99FE-4DC70540CC90}" name="FIRMA2" dataDxfId="123"/>
    <tableColumn id="11" xr3:uid="{A05E2EDC-5BDD-42F7-B416-5FD46CAA58BD}" name="AUTO" dataDxfId="122"/>
    <tableColumn id="12" xr3:uid="{69087B93-131F-4341-AF09-E5ED7292BCE1}" name="OSOB" dataDxfId="121"/>
    <tableColumn id="13" xr3:uid="{2C31F887-62D7-4F51-ACA7-701441E53874}" name="CELKEM HODIN" dataDxfId="120"/>
    <tableColumn id="14" xr3:uid="{FED145CE-90BA-43E0-BAC7-E4C8BBAB6831}" name="Výplatní páska" dataDxfId="119"/>
    <tableColumn id="15" xr3:uid="{681B61B0-179E-431A-A946-A6D0F1F3603A}" name="POSLÁNO NA ÚČET" dataDxfId="118"/>
    <tableColumn id="16" xr3:uid="{8D4971D3-8DFE-412C-81DC-749F3B13D7A3}" name="ÚČET " dataDxfId="117"/>
    <tableColumn id="17" xr3:uid="{2B549A71-3419-44B0-830F-015A407BE237}" name="MĚSÍC" dataDxfId="116"/>
    <tableColumn id="18" xr3:uid="{16B38906-8E65-4AEC-83E2-3D7BB7E9C1FC}" name="DATUM" dataDxfId="115"/>
    <tableColumn id="19" xr3:uid="{E560FA03-8BD9-4C50-92ED-F74AF1B81705}" name="Mrazák" dataDxfId="114"/>
  </tableColumns>
  <tableStyleInfo name="TableStyleDark2" showFirstColumn="0" showLastColumn="0" showRowStripes="1" showColumnStripes="0"/>
</table>
</file>

<file path=xl/tables/table3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4" xr:uid="{BD4A4474-077B-4E68-993B-4AA4F3DD7C38}" name="Tabulka4142567962425222928313336496571727475" displayName="Tabulka4142567962425222928313336496571727475" ref="A2:U36" totalsRowShown="0" headerRowDxfId="25" dataDxfId="24" headerRowBorderDxfId="22" tableBorderDxfId="23" totalsRowBorderDxfId="21">
  <autoFilter ref="A2:U36" xr:uid="{76D3A18D-D239-3D4A-867D-F6B5D46C7FBE}"/>
  <tableColumns count="21">
    <tableColumn id="1" xr3:uid="{F97E5F44-9558-497D-ABB3-F99657CD36A9}" name=" DATUM" dataDxfId="20"/>
    <tableColumn id="2" xr3:uid="{58B77DD2-604F-488B-98A3-FB6D15D81CC8}" name="DEN" dataDxfId="19">
      <calculatedColumnFormula>CHOOSE(WEEKDAY(V3),"Po","Út","St","Čt","Pá","So","Ne")</calculatedColumnFormula>
    </tableColumn>
    <tableColumn id="3" xr3:uid="{01A8C5E3-1F9F-4DD0-B442-2E3054D99171}" name="HOD" dataDxfId="18">
      <calculatedColumnFormula>G3-E3-F3</calculatedColumnFormula>
    </tableColumn>
    <tableColumn id="4" xr3:uid="{5A76C631-7E18-4477-95C9-DA8A28E6D3CA}" name="CEL" dataDxfId="17">
      <calculatedColumnFormula>(N3*C3)*24</calculatedColumnFormula>
    </tableColumn>
    <tableColumn id="20" xr3:uid="{84D8132A-8AD8-4F84-A94D-9F2368277CED}" name="OD" dataDxfId="16"/>
    <tableColumn id="21" xr3:uid="{9531EE85-A59A-44FE-87AE-3C6003C04E2F}" name="Obĕd" dataDxfId="15">
      <calculatedColumnFormula>O32</calculatedColumnFormula>
    </tableColumn>
    <tableColumn id="5" xr3:uid="{B59B8726-9290-4F8D-BBF7-AE2E680D47C5}" name="DO" dataDxfId="14"/>
    <tableColumn id="6" xr3:uid="{7F349073-E7B3-490E-8BEA-70B7F3065467}" name="MĚSTO" dataDxfId="13"/>
    <tableColumn id="7" xr3:uid="{6F7D40E1-0575-4E2D-ADE5-69ADAC61AB23}" name="FIRMA" dataDxfId="12"/>
    <tableColumn id="8" xr3:uid="{5F754D76-B686-4AC4-89CC-0EC3ED22B795}" name="STÁT" dataDxfId="11"/>
    <tableColumn id="9" xr3:uid="{2EA0F35F-77C5-4A1B-A1B9-EA0D9361C5BA}" name="SUPERVISOR" dataDxfId="10"/>
    <tableColumn id="10" xr3:uid="{D32D1861-FD4B-4D43-B4A5-9DED808D52BA}" name="FIRMA2" dataDxfId="9"/>
    <tableColumn id="11" xr3:uid="{45F3766D-D0A9-4AFA-B4EF-CF883DE32D9C}" name="AUTO" dataDxfId="8"/>
    <tableColumn id="12" xr3:uid="{E5819268-2879-4FE7-B35D-EC346CD2514D}" name="OSOB" dataDxfId="7"/>
    <tableColumn id="13" xr3:uid="{DB13AD50-3032-4061-8263-539F5FF26E96}" name="CELKEM HODIN" dataDxfId="6"/>
    <tableColumn id="14" xr3:uid="{ED10D8A9-0852-4F8D-8AA5-01F2492F60C3}" name="Výplatní páska" dataDxfId="5"/>
    <tableColumn id="15" xr3:uid="{4ABFE5E9-4442-44AB-B315-EA32E1364C22}" name="POSLÁNO NA ÚČET" dataDxfId="4"/>
    <tableColumn id="16" xr3:uid="{CD6E98F6-0288-4C7B-B42E-4EEF46C627F1}" name="ÚČET " dataDxfId="3"/>
    <tableColumn id="17" xr3:uid="{377F4A62-F102-4ED9-B837-6CA7C4BEF2B4}" name="MĚSÍC" dataDxfId="2"/>
    <tableColumn id="18" xr3:uid="{6E9009C5-09AE-407D-BF1E-69D23BAA6301}" name="DATUM" dataDxfId="1"/>
    <tableColumn id="19" xr3:uid="{2A4CFFD7-F2C6-47BA-8DA5-26A7EA746E75}" name="Mrazák" dataDxfId="0"/>
  </tableColumns>
  <tableStyleInfo name="TableStyleDark2" showFirstColumn="0" showLastColumn="0" showRowStripes="1" showColumnStripes="0"/>
</table>
</file>

<file path=xl/tables/table3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3" xr:uid="{9965F487-9DE8-4C63-968F-99C0AD524848}" name="Tabulka41425679624252229283133364965717274" displayName="Tabulka41425679624252229283133364965717274" ref="A2:U36" totalsRowShown="0" headerRowDxfId="51" dataDxfId="50" headerRowBorderDxfId="48" tableBorderDxfId="49" totalsRowBorderDxfId="47">
  <autoFilter ref="A2:U36" xr:uid="{76D3A18D-D239-3D4A-867D-F6B5D46C7FBE}"/>
  <tableColumns count="21">
    <tableColumn id="1" xr3:uid="{9EB6E6DA-6C2F-423B-83C1-2C538B8E0B99}" name=" DATUM" dataDxfId="46"/>
    <tableColumn id="2" xr3:uid="{E8A9FC5C-AA94-47AA-9413-4823CAC92825}" name="DEN" dataDxfId="45">
      <calculatedColumnFormula>CHOOSE(WEEKDAY(V3),"Po","Út","St","Čt","Pá","So","Ne")</calculatedColumnFormula>
    </tableColumn>
    <tableColumn id="3" xr3:uid="{9EBB9EC7-8CC6-455B-8E0B-14F771FCA3EE}" name="HOD" dataDxfId="44">
      <calculatedColumnFormula>G3-E3-F3</calculatedColumnFormula>
    </tableColumn>
    <tableColumn id="4" xr3:uid="{6364334C-59EC-4666-80C2-A0ACAAFCBE34}" name="CEL" dataDxfId="43">
      <calculatedColumnFormula>(N3*C3)*24</calculatedColumnFormula>
    </tableColumn>
    <tableColumn id="20" xr3:uid="{8DFED063-08AC-4DD8-B63B-CD429B92B6BC}" name="OD" dataDxfId="42"/>
    <tableColumn id="21" xr3:uid="{AF1A0C7B-C014-4160-9D5A-AA9AF00B02AF}" name="Obĕd" dataDxfId="41">
      <calculatedColumnFormula>O32</calculatedColumnFormula>
    </tableColumn>
    <tableColumn id="5" xr3:uid="{0B75910C-7A04-4C30-92C8-C767464D02FB}" name="DO" dataDxfId="40"/>
    <tableColumn id="6" xr3:uid="{698052E9-5812-4815-A826-5D750F79037A}" name="MĚSTO" dataDxfId="39"/>
    <tableColumn id="7" xr3:uid="{F580F360-02CB-4BF2-91FD-E53465FAA3BA}" name="FIRMA" dataDxfId="38"/>
    <tableColumn id="8" xr3:uid="{69710974-390B-4767-8024-6265416B4EBB}" name="STÁT" dataDxfId="37"/>
    <tableColumn id="9" xr3:uid="{558951EB-EA74-434D-B6A1-EE787B6506A9}" name="SUPERVISOR" dataDxfId="36"/>
    <tableColumn id="10" xr3:uid="{BF18A3B1-0937-47F8-96A0-1A0E2D13A385}" name="FIRMA2" dataDxfId="35"/>
    <tableColumn id="11" xr3:uid="{C75F8868-B09D-47CB-BCA6-8BFA5679393B}" name="AUTO" dataDxfId="34"/>
    <tableColumn id="12" xr3:uid="{A8888704-6D37-4C1B-B3B3-860D835A86AE}" name="OSOB" dataDxfId="33"/>
    <tableColumn id="13" xr3:uid="{6B52C0B4-AA81-4307-A080-A3DAFBABB799}" name="CELKEM HODIN" dataDxfId="32"/>
    <tableColumn id="14" xr3:uid="{352147DA-7015-4B96-A872-3F4B6B077F99}" name="Výplatní páska" dataDxfId="31"/>
    <tableColumn id="15" xr3:uid="{3DE032CC-EE76-427A-A4B2-2F7537CFF787}" name="POSLÁNO NA ÚČET" dataDxfId="30"/>
    <tableColumn id="16" xr3:uid="{7B08BB98-24AF-4987-A5A7-60B42A865E87}" name="ÚČET " dataDxfId="29"/>
    <tableColumn id="17" xr3:uid="{6B5D6D18-49F8-48D3-91AD-5EB32094F21C}" name="MĚSÍC" dataDxfId="28"/>
    <tableColumn id="18" xr3:uid="{EAAAC53E-0F60-4F81-8D1E-733110BAA9A0}" name="DATUM" dataDxfId="27"/>
    <tableColumn id="19" xr3:uid="{FA6B11FB-863C-47B9-90BE-DE0C54F790DB}" name="Mrazák" dataDxfId="26"/>
  </tableColumns>
  <tableStyleInfo name="TableStyleDark2" showFirstColumn="0" showLastColumn="0" showRowStripes="1" showColumnStripes="0"/>
</table>
</file>

<file path=xl/tables/table3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8" xr:uid="{CC752226-38DA-BB49-9FB1-CBB8BFE0FA93}" name="Tabulka414256796242522292831333649" displayName="Tabulka414256796242522292831333649" ref="C2:W36" totalsRowShown="0" headerRowDxfId="1169" dataDxfId="1167" headerRowBorderDxfId="1168" tableBorderDxfId="1166" totalsRowBorderDxfId="1165">
  <autoFilter ref="C2:W36" xr:uid="{76D3A18D-D239-3D4A-867D-F6B5D46C7FBE}"/>
  <tableColumns count="21">
    <tableColumn id="1" xr3:uid="{44AB1CB0-A9DA-174D-BB34-06EB876C53BE}" name=" DATUM" dataDxfId="1164"/>
    <tableColumn id="2" xr3:uid="{41091DE2-C5C9-E94E-84CD-256C8C5DF797}" name="DEN" dataDxfId="1163">
      <calculatedColumnFormula>CHOOSE(WEEKDAY(X3),"Po","Út","St","Čt","Pá","So","Ne")</calculatedColumnFormula>
    </tableColumn>
    <tableColumn id="3" xr3:uid="{C61D478F-8B01-3148-95EA-99CE49C63E15}" name="HOD" dataDxfId="1162">
      <calculatedColumnFormula>I3-G3-H3</calculatedColumnFormula>
    </tableColumn>
    <tableColumn id="4" xr3:uid="{5CEEE0EE-0609-CD42-85F6-84E127A2F221}" name="CEL" dataDxfId="1161">
      <calculatedColumnFormula>(P3*E3)*24</calculatedColumnFormula>
    </tableColumn>
    <tableColumn id="20" xr3:uid="{D5001579-40E6-074A-B8FD-039A9090CF1E}" name="OD" dataDxfId="1160"/>
    <tableColumn id="21" xr3:uid="{A76293BA-A9D1-C040-AFB6-0EBDECBB42E3}" name="Obĕd" dataDxfId="1159">
      <calculatedColumnFormula>Q32</calculatedColumnFormula>
    </tableColumn>
    <tableColumn id="5" xr3:uid="{F3C0B962-F1D1-3648-B305-F8033F8BD3D6}" name="DO" dataDxfId="1158"/>
    <tableColumn id="6" xr3:uid="{0C77F5FD-8C85-2F41-A36E-75D006B9BE11}" name="MĚSTO" dataDxfId="1157"/>
    <tableColumn id="7" xr3:uid="{367A7D50-AE61-CA4D-8562-E63F65543EF0}" name="FIRMA" dataDxfId="1156"/>
    <tableColumn id="8" xr3:uid="{89A093E1-92F4-254B-8B2C-A808F64D816F}" name="STÁT" dataDxfId="1155"/>
    <tableColumn id="9" xr3:uid="{ACFDFA8B-78DB-574D-B704-2413075CBB36}" name="SUPERVISOR" dataDxfId="1154"/>
    <tableColumn id="10" xr3:uid="{785B28E8-6AC3-1F42-8298-0109B71D09D9}" name="FIRMA2" dataDxfId="1153"/>
    <tableColumn id="11" xr3:uid="{B8FA1284-1736-B14B-9A01-C937C2CF8938}" name="AUTO" dataDxfId="1152"/>
    <tableColumn id="12" xr3:uid="{9AABFA81-99E1-EC4D-B365-6AE348A4D8A3}" name="OSOB" dataDxfId="1151"/>
    <tableColumn id="13" xr3:uid="{980B7F06-4566-1D44-A334-3A699AF2BFED}" name="CELKEM HODIN" dataDxfId="1150"/>
    <tableColumn id="14" xr3:uid="{47638000-EFBA-634C-99CC-15472F2D265A}" name="Výplatní páska" dataDxfId="1149"/>
    <tableColumn id="15" xr3:uid="{84046521-73CC-084D-B63E-C931D8FA8960}" name="POSLÁNO NA ÚČET" dataDxfId="1148"/>
    <tableColumn id="16" xr3:uid="{BDA2E1C5-42B3-904B-A7C7-1B07E8B62B9F}" name="ÚČET " dataDxfId="1147"/>
    <tableColumn id="17" xr3:uid="{2142B04A-E4D7-1E44-A98C-19F066A1E38C}" name="MĚSÍC" dataDxfId="1146"/>
    <tableColumn id="18" xr3:uid="{B4323D45-1DCD-5741-9C19-DB8FB58EA316}" name="DATUM" dataDxfId="1145"/>
    <tableColumn id="19" xr3:uid="{1939BA95-E655-AB4A-9A58-2B4C42E1DF15}" name="Mrazák" dataDxfId="1144"/>
  </tableColumns>
  <tableStyleInfo name="TableStyleDark2" showFirstColumn="0" showLastColumn="0" showRowStripes="1" showColumnStripes="0"/>
</table>
</file>

<file path=xl/tables/table3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2" xr:uid="{B36F41AB-FD72-8943-A064-FF7D104D070F}" name="Tabulka41425679624252229283133364953" displayName="Tabulka41425679624252229283133364953" ref="C2:W36" totalsRowShown="0" headerRowDxfId="1143" dataDxfId="1141" headerRowBorderDxfId="1142" tableBorderDxfId="1140" totalsRowBorderDxfId="1139">
  <autoFilter ref="C2:W36" xr:uid="{76D3A18D-D239-3D4A-867D-F6B5D46C7FBE}"/>
  <tableColumns count="21">
    <tableColumn id="1" xr3:uid="{5C89EB3E-5FED-6F4E-A47E-DD2190BBDD5F}" name=" DATUM" dataDxfId="1138"/>
    <tableColumn id="2" xr3:uid="{0586F9CD-C06E-0B4F-9FB5-CD5F162816F7}" name="DEN" dataDxfId="1137">
      <calculatedColumnFormula>CHOOSE(WEEKDAY(X3),"Po","Út","St","Čt","Pá","So","Ne")</calculatedColumnFormula>
    </tableColumn>
    <tableColumn id="3" xr3:uid="{EF1C960E-29D9-BB4C-8DC7-E74A6728EC5A}" name="HOD" dataDxfId="1136">
      <calculatedColumnFormula>I3-G3-H3</calculatedColumnFormula>
    </tableColumn>
    <tableColumn id="4" xr3:uid="{1AE6F978-657B-AB45-B219-0E004292E28C}" name="CEL" dataDxfId="1135">
      <calculatedColumnFormula>(P3*E3)*24</calculatedColumnFormula>
    </tableColumn>
    <tableColumn id="20" xr3:uid="{BEF53F84-DFE6-1940-A1DF-968DB21779A6}" name="OD" dataDxfId="1134"/>
    <tableColumn id="21" xr3:uid="{65655AA7-7E4F-D149-8C70-3AC4071E27CF}" name="Obĕd" dataDxfId="1133">
      <calculatedColumnFormula>Q32</calculatedColumnFormula>
    </tableColumn>
    <tableColumn id="5" xr3:uid="{F84D8CFA-2C00-7B4C-83B7-2F25EDC2D664}" name="DO" dataDxfId="1132"/>
    <tableColumn id="6" xr3:uid="{484BAD31-A02D-1347-B3CB-A039C0856E84}" name="MĚSTO" dataDxfId="1131"/>
    <tableColumn id="7" xr3:uid="{50F85F26-AE99-0940-9CE8-67612BEADF6F}" name="FIRMA" dataDxfId="1130"/>
    <tableColumn id="8" xr3:uid="{EBD9685B-C850-9845-B596-45B50041BFE7}" name="STÁT" dataDxfId="1129"/>
    <tableColumn id="9" xr3:uid="{AFA88DBE-9EDD-0445-98AE-9829A3BAA243}" name="SUPERVISOR" dataDxfId="1128"/>
    <tableColumn id="10" xr3:uid="{EC2D5FF8-D707-2A42-94C8-79DD265E35C2}" name="FIRMA2" dataDxfId="1127"/>
    <tableColumn id="11" xr3:uid="{2FCE5515-D7BE-5C4B-A425-234F37BB9163}" name="AUTO" dataDxfId="1126"/>
    <tableColumn id="12" xr3:uid="{D482C0C6-F3E3-0949-994F-853E8D4881AD}" name="OSOB" dataDxfId="1125"/>
    <tableColumn id="13" xr3:uid="{62E213C4-455B-444C-81AD-8748CB7A2ABA}" name="CELKEM HODIN" dataDxfId="1124"/>
    <tableColumn id="14" xr3:uid="{59E43D48-B3E7-8F43-8A11-4D687DE0FDA9}" name="Výplatní páska" dataDxfId="1123"/>
    <tableColumn id="15" xr3:uid="{D5BA5D04-5ABF-284C-B76D-06B1F0D71BF5}" name="POSLÁNO NA ÚČET" dataDxfId="1122"/>
    <tableColumn id="16" xr3:uid="{1DBBF5DD-00CB-3043-B357-48C67A281BAF}" name="ÚČET " dataDxfId="1121"/>
    <tableColumn id="17" xr3:uid="{A8163DC6-38EB-2048-933E-8C4A2A402AEE}" name="MĚSÍC" dataDxfId="1120"/>
    <tableColumn id="18" xr3:uid="{13ECF806-66AB-3C40-8EE9-0A4DD5B968E8}" name="DATUM" dataDxfId="1119"/>
    <tableColumn id="19" xr3:uid="{AC347E8A-5F08-3C43-BAE1-495A4CE1806D}" name="Mrazák" dataDxfId="1118"/>
  </tableColumns>
  <tableStyleInfo name="TableStyleDark2" showFirstColumn="0" showLastColumn="0" showRowStripes="1" showColumnStripes="0"/>
</table>
</file>

<file path=xl/tables/table3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3" xr:uid="{0873E88B-924C-C64F-9212-650BCE580D77}" name="Tabulka4142567962425222928313336495354" displayName="Tabulka4142567962425222928313336495354" ref="C2:W36" totalsRowShown="0" headerRowDxfId="1117" dataDxfId="1115" headerRowBorderDxfId="1116" tableBorderDxfId="1114" totalsRowBorderDxfId="1113">
  <autoFilter ref="C2:W36" xr:uid="{76D3A18D-D239-3D4A-867D-F6B5D46C7FBE}"/>
  <tableColumns count="21">
    <tableColumn id="1" xr3:uid="{D2561371-8349-3949-8D3C-CFB05EE5C3A3}" name=" DATUM" dataDxfId="1112"/>
    <tableColumn id="2" xr3:uid="{ED66D6F1-C0DC-9D4D-A69D-C82B8B3FF82B}" name="DEN" dataDxfId="1111">
      <calculatedColumnFormula>CHOOSE(WEEKDAY(X3),"Po","Út","St","Čt","Pá","So","Ne")</calculatedColumnFormula>
    </tableColumn>
    <tableColumn id="3" xr3:uid="{4663A626-3C4D-7540-8757-166874EE3157}" name="HOD" dataDxfId="1110">
      <calculatedColumnFormula>I3-G3-H3</calculatedColumnFormula>
    </tableColumn>
    <tableColumn id="4" xr3:uid="{94747BF1-C23D-0641-A0AC-61595557CC0F}" name="CEL" dataDxfId="1109">
      <calculatedColumnFormula>(P3*E3)*24</calculatedColumnFormula>
    </tableColumn>
    <tableColumn id="20" xr3:uid="{66561F49-FF01-AC44-9F3B-885B4E4C8E8F}" name="OD" dataDxfId="1108"/>
    <tableColumn id="21" xr3:uid="{6116DD53-8354-7147-831E-6BAB40CE1085}" name="Obĕd" dataDxfId="1107">
      <calculatedColumnFormula>Q32</calculatedColumnFormula>
    </tableColumn>
    <tableColumn id="5" xr3:uid="{5E7D949E-6094-D643-9FD7-4FE04A832D4B}" name="DO" dataDxfId="1106"/>
    <tableColumn id="6" xr3:uid="{6C4AEB71-E02B-BD4F-A43A-E811958D56C1}" name="MĚSTO" dataDxfId="1105"/>
    <tableColumn id="7" xr3:uid="{38C125DE-B8BE-8E47-98AC-A4991C94FC75}" name="FIRMA" dataDxfId="1104"/>
    <tableColumn id="8" xr3:uid="{79C6C5C5-4F78-1345-88D3-35C575D42B7E}" name="STÁT" dataDxfId="1103"/>
    <tableColumn id="9" xr3:uid="{08852C10-8514-314D-BD5A-7829AA702AC3}" name="SUPERVISOR" dataDxfId="1102"/>
    <tableColumn id="10" xr3:uid="{2B729C82-D160-6F4E-B94D-8FC5D367D715}" name="FIRMA2" dataDxfId="1101"/>
    <tableColumn id="11" xr3:uid="{3C69C3DE-0CB5-9345-8599-A9F3144C19AD}" name="AUTO" dataDxfId="1100"/>
    <tableColumn id="12" xr3:uid="{EA70A720-057F-4B4B-AF75-EB4E7199DFF1}" name="OSOB" dataDxfId="1099"/>
    <tableColumn id="13" xr3:uid="{D628C7C7-3769-9940-A303-FA2236E3012F}" name="CELKEM HODIN" dataDxfId="1098"/>
    <tableColumn id="14" xr3:uid="{ACF61C4A-BA25-A04D-994E-3EFAADF27A18}" name="Výplatní páska" dataDxfId="1097"/>
    <tableColumn id="15" xr3:uid="{AF667595-E937-2B49-B9F7-2A330360296F}" name="POSLÁNO NA ÚČET" dataDxfId="1096"/>
    <tableColumn id="16" xr3:uid="{3448AA72-CAAA-284C-A14C-A812093E1BEC}" name="ÚČET " dataDxfId="1095"/>
    <tableColumn id="17" xr3:uid="{04FD4E93-F34C-394B-91C0-E6BEAC3DE272}" name="MĚSÍC" dataDxfId="1094"/>
    <tableColumn id="18" xr3:uid="{27653849-F548-D142-94A4-2F696A80DE15}" name="DATUM" dataDxfId="1093"/>
    <tableColumn id="19" xr3:uid="{425A6E29-F802-C04A-90E8-F94C0F178F2B}" name="Mrazák" dataDxfId="1092"/>
  </tableColumns>
  <tableStyleInfo name="TableStyleDark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9" xr:uid="{722B9924-7E1D-CD48-8F97-0EB71FB409E2}" name="Tabulka1215351011182330" displayName="Tabulka1215351011182330" ref="A2:AG33" totalsRowShown="0" headerRowDxfId="2007" dataDxfId="2006" tableBorderDxfId="2005">
  <autoFilter ref="A2:AG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EE3F8905-C16D-BE48-9E84-51A110B38C91}" name="Kartou" dataDxfId="2004"/>
    <tableColumn id="2" xr3:uid="{4D6DFC3C-E38D-2C42-AD46-999140C55540}" name="Datum" dataDxfId="2003"/>
    <tableColumn id="3" xr3:uid="{FD595A3C-C26D-3D4A-BFEC-77606DEE3BF7}" name="Hotově" dataDxfId="2002"/>
    <tableColumn id="4" xr3:uid="{A64242C0-E0C8-2842-9B0E-29E72BD94ED7}" name="Kartou " dataDxfId="2001"/>
    <tableColumn id="5" xr3:uid="{53F582E7-1671-6543-A8E6-AC8748EBDED4}" name="Datum " dataDxfId="2000"/>
    <tableColumn id="6" xr3:uid="{18A45F8E-49A4-9148-90E3-FF97012BB109}" name="Hotově " dataDxfId="1999"/>
    <tableColumn id="7" xr3:uid="{80496ED8-0E7F-1F4B-A8AD-7F745F2DB368}" name="Hotově  " dataDxfId="1998"/>
    <tableColumn id="8" xr3:uid="{A2BEB79D-2775-6549-9E60-1E0F04223C8A}" name="Kartou  " dataDxfId="1997"/>
    <tableColumn id="9" xr3:uid="{A795EFE4-AF17-3947-A343-5903CCDD3952}" name="Hotově   " dataDxfId="1996"/>
    <tableColumn id="10" xr3:uid="{57920698-C259-274B-A05F-06B7EF2BBF02}" name="Datum   " dataDxfId="1995"/>
    <tableColumn id="11" xr3:uid="{3578DD4D-B18B-4846-A387-0370477BC480}" name="Kartou   " dataDxfId="1994"/>
    <tableColumn id="12" xr3:uid="{5D8DEA68-65C5-AD4F-90C5-9FB3A8E95804}" name="CZE" dataDxfId="1993"/>
    <tableColumn id="13" xr3:uid="{6D730610-BA58-FA4E-8FD8-8AF38DF7DFC1}" name="POPIS" dataDxfId="1992"/>
    <tableColumn id="14" xr3:uid="{8A7F1756-C726-C146-9356-C9848634454E}" name="EURO" dataDxfId="1991"/>
    <tableColumn id="15" xr3:uid="{313E06B8-FD18-3F47-8BE3-FCA14A1AB645}" name="EURO " dataDxfId="1990">
      <calculatedColumnFormula>AG35-AK6-AI3</calculatedColumnFormula>
    </tableColumn>
    <tableColumn id="16" xr3:uid="{A52C1717-D217-9C43-BDBC-94DCC3076243}" name="CZE " dataDxfId="1989"/>
    <tableColumn id="17" xr3:uid="{D8AA7F39-13F4-F74E-A768-E5E1C360160D}" name="Zoulič" dataDxfId="1988"/>
    <tableColumn id="18" xr3:uid="{73073FD1-CA5D-AC4C-A196-E9AF4267E8BA}" name=" Datum" dataDxfId="1987"/>
    <tableColumn id="19" xr3:uid="{E13DA07C-C753-DD46-B0BE-72FCEB4F6EBB}" name="Šimon" dataDxfId="1986"/>
    <tableColumn id="20" xr3:uid="{8BE64C68-E452-C443-BD42-5EA58A03DF3F}" name="  Datum" dataDxfId="1985"/>
    <tableColumn id="21" xr3:uid="{0D20AB16-2C6F-7B41-BA65-911F97828FE3}" name="Miskinc" dataDxfId="1984"/>
    <tableColumn id="22" xr3:uid="{240313C4-63E0-4443-B259-3BA76F7D2EEA}" name=" Datum " dataDxfId="1983"/>
    <tableColumn id="35" xr3:uid="{60B268A6-ACA8-AC4E-911A-0A7D8A0ECA8B}" name="Milan Jámbor" dataDxfId="1982"/>
    <tableColumn id="36" xr3:uid="{8E13ECD3-C300-D544-878F-B9E44A0E52F6}" name=" Datum  " dataDxfId="1981"/>
    <tableColumn id="33" xr3:uid="{08B0A4F6-2B92-7442-B12E-FF41DE6B4266}" name="Tomáš Bečka" dataDxfId="1980"/>
    <tableColumn id="34" xr3:uid="{4B08185B-E4D1-7F44-B26C-2B481C90E332}" name="  Datum  " dataDxfId="1979"/>
    <tableColumn id="23" xr3:uid="{958201B8-8A59-B141-B343-C40D0B8EF80D}" name="xxx" dataDxfId="1978"/>
    <tableColumn id="24" xr3:uid="{5EFCFB9C-E079-BE4E-B1B6-A9725E2085F2}" name="  Datum " dataDxfId="1977"/>
    <tableColumn id="25" xr3:uid="{80837E4F-10B0-CD41-8071-09F9A71981E3}" name="xx" dataDxfId="1976"/>
    <tableColumn id="26" xr3:uid="{9E85E779-6B86-3045-9142-23E2C5C400D7}" name="  Datum   " dataDxfId="1975"/>
    <tableColumn id="27" xr3:uid="{BB0A9342-9643-EA4B-B250-B090AD550B8B}" name="CZE," dataDxfId="1974"/>
    <tableColumn id="28" xr3:uid="{B46846C1-C76C-C943-9B66-E13E3AB4B509}" name="   DATUM " dataDxfId="1973"/>
    <tableColumn id="29" xr3:uid="{A288E26D-B094-824A-9F84-846D5787484F}" name="EURO," dataDxfId="1972"/>
  </tableColumns>
  <tableStyleInfo name="TableStyleDark2" showFirstColumn="0" showLastColumn="0" showRowStripes="1" showColumnStripes="0"/>
</table>
</file>

<file path=xl/tables/table4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4" xr:uid="{08F08DF3-F2D8-074A-A8BE-0BA6B3D013EF}" name="Tabulka414256796242522292831333649535455" displayName="Tabulka414256796242522292831333649535455" ref="C2:W36" totalsRowShown="0" headerRowDxfId="1091" dataDxfId="1089" headerRowBorderDxfId="1090" tableBorderDxfId="1088" totalsRowBorderDxfId="1087">
  <autoFilter ref="C2:W36" xr:uid="{76D3A18D-D239-3D4A-867D-F6B5D46C7FBE}"/>
  <tableColumns count="21">
    <tableColumn id="1" xr3:uid="{C857346B-B92A-A048-9B6F-C161B6E7EB7D}" name=" DATUM" dataDxfId="1086"/>
    <tableColumn id="2" xr3:uid="{DD5E466B-52B3-F74D-B076-F1561C8C08AE}" name="DEN" dataDxfId="1085">
      <calculatedColumnFormula>CHOOSE(WEEKDAY(X3),"Po","Út","St","Čt","Pá","So","Ne")</calculatedColumnFormula>
    </tableColumn>
    <tableColumn id="3" xr3:uid="{3745994F-8168-544B-A12E-090B3601169C}" name="HOD" dataDxfId="1084">
      <calculatedColumnFormula>I3-G3-H3</calculatedColumnFormula>
    </tableColumn>
    <tableColumn id="4" xr3:uid="{B9648147-2E6D-BA4A-8021-D7F832CE4EE3}" name="CEL" dataDxfId="1083">
      <calculatedColumnFormula>(P3*E3)*24</calculatedColumnFormula>
    </tableColumn>
    <tableColumn id="20" xr3:uid="{84B8E17F-94E6-A543-B9C1-8920E84F1D75}" name="OD" dataDxfId="1082"/>
    <tableColumn id="21" xr3:uid="{675CEA3A-C6B3-9447-9047-87C202B6099F}" name="Obĕd" dataDxfId="1081">
      <calculatedColumnFormula>H37</calculatedColumnFormula>
    </tableColumn>
    <tableColumn id="5" xr3:uid="{94D5D10C-0FFD-D74C-8E70-BFE796CD02F4}" name="DO" dataDxfId="1080"/>
    <tableColumn id="6" xr3:uid="{78913427-93FD-9943-8940-CD9576017D22}" name="MĚSTO" dataDxfId="1079"/>
    <tableColumn id="7" xr3:uid="{5FBEAA5D-D7FF-E349-9F27-D37DACEC324A}" name="FIRMA" dataDxfId="1078"/>
    <tableColumn id="8" xr3:uid="{B566CAE0-C815-DE46-975C-DD1FC807D2F9}" name="STÁT" dataDxfId="1077"/>
    <tableColumn id="9" xr3:uid="{5F1EEB9D-5A46-AE4D-824C-98D80A868E65}" name="SUPERVISOR" dataDxfId="1076"/>
    <tableColumn id="10" xr3:uid="{E2CBEFB0-D78F-6A49-884C-5234F3E725C5}" name="FIRMA2" dataDxfId="1075"/>
    <tableColumn id="11" xr3:uid="{59B76BF6-6326-734C-93E6-AEF46921AE1D}" name="AUTO" dataDxfId="1074"/>
    <tableColumn id="12" xr3:uid="{2040DACD-AEDE-6248-B233-A402CBA8FF4E}" name="OSOB" dataDxfId="1073"/>
    <tableColumn id="13" xr3:uid="{A6E89486-12E7-7C48-AEEF-CC02DEC442DD}" name="CELKEM HODIN" dataDxfId="1072"/>
    <tableColumn id="14" xr3:uid="{CF958792-B709-9144-975D-A63948665C46}" name="Výplatní páska" dataDxfId="1071"/>
    <tableColumn id="15" xr3:uid="{2D6FC88D-82DE-2F4B-A23A-463AC1CDBC0B}" name="POSLÁNO NA ÚČET" dataDxfId="1070"/>
    <tableColumn id="16" xr3:uid="{1FE7F2EE-DA65-B541-8FD5-B867E99B4CFB}" name="ŽÁDOST" dataDxfId="1069"/>
    <tableColumn id="17" xr3:uid="{82008EA7-1437-C84A-9DBB-5C872E0021A2}" name="MĚSÍC" dataDxfId="1068"/>
    <tableColumn id="18" xr3:uid="{8702DA12-D4EF-D843-9817-A28713D0EC0D}" name="DATUM" dataDxfId="1067"/>
    <tableColumn id="19" xr3:uid="{75F7C5C5-67F2-3743-BA25-FF1AEBB70F42}" name="Mrazák" dataDxfId="1066"/>
  </tableColumns>
  <tableStyleInfo name="TableStyleDark2" showFirstColumn="0" showLastColumn="0" showRowStripes="1" showColumnStripes="0"/>
</table>
</file>

<file path=xl/tables/table4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5" xr:uid="{6B6DE1B4-04E0-AD43-9F20-F76DE8C6FCBF}" name="Tabulka41425679624252229283133364953545556" displayName="Tabulka41425679624252229283133364953545556" ref="C2:W36" totalsRowShown="0" headerRowDxfId="1065" dataDxfId="1063" headerRowBorderDxfId="1064" tableBorderDxfId="1062" totalsRowBorderDxfId="1061">
  <autoFilter ref="C2:W36" xr:uid="{76D3A18D-D239-3D4A-867D-F6B5D46C7FBE}"/>
  <tableColumns count="21">
    <tableColumn id="1" xr3:uid="{30D2367D-685C-D545-9232-5D5643128CA8}" name=" DATUM" dataDxfId="1060"/>
    <tableColumn id="2" xr3:uid="{D46BF905-3C2A-2748-A914-0FA3411FF560}" name="DEN" dataDxfId="1059">
      <calculatedColumnFormula>CHOOSE(WEEKDAY(X3),"Po","Út","St","Čt","Pá","So","Ne")</calculatedColumnFormula>
    </tableColumn>
    <tableColumn id="3" xr3:uid="{03DC77C5-BC13-D547-8963-639976E526F7}" name="HOD" dataDxfId="1058">
      <calculatedColumnFormula>I3-G3-H3</calculatedColumnFormula>
    </tableColumn>
    <tableColumn id="4" xr3:uid="{8D2E0533-9D8B-5545-A4EE-7307F11C03BB}" name="CEL" dataDxfId="1057">
      <calculatedColumnFormula>(P3*E3)*24</calculatedColumnFormula>
    </tableColumn>
    <tableColumn id="20" xr3:uid="{F1B6B68B-6B00-0D4C-9C81-0963EDEC7E16}" name="OD" dataDxfId="1056"/>
    <tableColumn id="21" xr3:uid="{51C48F1D-A377-6043-BE4E-64083112937C}" name="Obĕd" dataDxfId="1055">
      <calculatedColumnFormula>H41</calculatedColumnFormula>
    </tableColumn>
    <tableColumn id="5" xr3:uid="{E697D82D-C3EE-2C4E-9123-BA92D7E8EDBF}" name="DO" dataDxfId="1054"/>
    <tableColumn id="6" xr3:uid="{E0DFC8D7-D2E1-C24B-8609-30FFBCB4D5F6}" name="MĚSTO" dataDxfId="1053"/>
    <tableColumn id="7" xr3:uid="{99C1CF3B-903B-C744-8419-12C5FE8AC7E8}" name="FIRMA" dataDxfId="1052"/>
    <tableColumn id="8" xr3:uid="{07C3845E-306E-2D4C-8174-4FB3426B6C5D}" name="STÁT" dataDxfId="1051"/>
    <tableColumn id="9" xr3:uid="{1A32B065-55E3-7D46-A212-7344AD4232A8}" name="SUPERVISOR" dataDxfId="1050"/>
    <tableColumn id="10" xr3:uid="{E00A1652-CBC7-A340-8719-B7B107884B35}" name="FIRMA2" dataDxfId="1049"/>
    <tableColumn id="11" xr3:uid="{71B518CC-8D8D-0047-B848-8617780DE552}" name="AUTO" dataDxfId="1048"/>
    <tableColumn id="12" xr3:uid="{D4479020-0E74-E948-B571-23E149861ED1}" name="OSOB" dataDxfId="1047"/>
    <tableColumn id="13" xr3:uid="{493DFE74-BBFE-6841-860A-5FEC7291899D}" name="CELKEM HODIN" dataDxfId="1046"/>
    <tableColumn id="14" xr3:uid="{4706C52E-12B0-9A48-A5D8-083838EFF650}" name="Výplatní páska" dataDxfId="1045"/>
    <tableColumn id="15" xr3:uid="{643A3E99-3534-864A-87EF-E6B3AB2033C2}" name="POSLÁNO NA ÚČET" dataDxfId="1044"/>
    <tableColumn id="16" xr3:uid="{92DBDBB9-FCF6-5E42-8118-EFAAFE66A26B}" name="ÚČET " dataDxfId="1043"/>
    <tableColumn id="17" xr3:uid="{F5165973-89FC-184B-9B0F-D7C17E6246DB}" name="MĚSÍC" dataDxfId="1042"/>
    <tableColumn id="18" xr3:uid="{D8910C49-835E-B243-9C5F-4F70B347009A}" name="DATUM" dataDxfId="1041"/>
    <tableColumn id="19" xr3:uid="{621C1122-C57C-C64B-B383-3C7A93AE0306}" name="Mrazák" dataDxfId="1040"/>
  </tableColumns>
  <tableStyleInfo name="TableStyleDark2" showFirstColumn="0" showLastColumn="0" showRowStripes="1" showColumnStripes="0"/>
</table>
</file>

<file path=xl/tables/table4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6" xr:uid="{863F6363-C65C-D342-BBDB-336527FC143C}" name="Tabulka4142567962425222928313336495354555657" displayName="Tabulka4142567962425222928313336495354555657" ref="C2:W36" totalsRowShown="0" headerRowDxfId="1039" dataDxfId="1037" headerRowBorderDxfId="1038" tableBorderDxfId="1036" totalsRowBorderDxfId="1035">
  <autoFilter ref="C2:W36" xr:uid="{76D3A18D-D239-3D4A-867D-F6B5D46C7FBE}"/>
  <tableColumns count="21">
    <tableColumn id="1" xr3:uid="{1DDCD4DA-DE99-944C-80C0-E6C46636941A}" name=" DATUM" dataDxfId="1034"/>
    <tableColumn id="2" xr3:uid="{A8B68FFB-5159-9245-96AA-B06580511AF4}" name="DEN" dataDxfId="1033">
      <calculatedColumnFormula>CHOOSE(WEEKDAY(X3),"Po","Út","St","Čt","Pá","So","Ne")</calculatedColumnFormula>
    </tableColumn>
    <tableColumn id="3" xr3:uid="{94418E1B-DE98-2844-A75E-08B44280C3BB}" name="HOD" dataDxfId="1032">
      <calculatedColumnFormula>I3-G3-H3</calculatedColumnFormula>
    </tableColumn>
    <tableColumn id="4" xr3:uid="{C3BE14D2-D0DA-274C-AD84-1B00EFCA9BAD}" name="CEL" dataDxfId="1031">
      <calculatedColumnFormula>(P3*E3)*24</calculatedColumnFormula>
    </tableColumn>
    <tableColumn id="20" xr3:uid="{454DFBB8-DD11-954D-AAF0-11DD74A62C44}" name="OD" dataDxfId="1030"/>
    <tableColumn id="21" xr3:uid="{7ABE4244-D9E8-F545-A550-681A2A875E85}" name="Obĕd" dataDxfId="1029">
      <calculatedColumnFormula>H41</calculatedColumnFormula>
    </tableColumn>
    <tableColumn id="5" xr3:uid="{F38DBAE2-F340-654E-BEB3-A7DEEEC21684}" name="DO" dataDxfId="1028"/>
    <tableColumn id="6" xr3:uid="{77347580-AFC9-DA4F-902E-25E0272E8AFC}" name="MĚSTO" dataDxfId="1027"/>
    <tableColumn id="7" xr3:uid="{8740C916-CABD-0C43-BE3D-54D9DE225B00}" name="FIRMA" dataDxfId="1026"/>
    <tableColumn id="8" xr3:uid="{0AF76244-72AD-1840-AEED-4C0601B95149}" name="STÁT" dataDxfId="1025"/>
    <tableColumn id="9" xr3:uid="{E2E9EC6E-BC4F-1145-87EB-EA5010B3C40D}" name="SUPERVISOR" dataDxfId="1024"/>
    <tableColumn id="10" xr3:uid="{03F045A8-2EEE-4D44-8B5A-02FFFD16E947}" name="FIRMA2" dataDxfId="1023"/>
    <tableColumn id="11" xr3:uid="{A3537330-A386-5443-BB4B-3056141B6499}" name="AUTO" dataDxfId="1022"/>
    <tableColumn id="12" xr3:uid="{E22E3DEA-11AF-A04A-B236-74C5B4038392}" name="OSOB" dataDxfId="1021"/>
    <tableColumn id="13" xr3:uid="{230F0442-F145-7740-9960-42119284D8BD}" name="CELKEM HODIN" dataDxfId="1020"/>
    <tableColumn id="14" xr3:uid="{CB922497-B769-DD48-90AE-B5E623E1E08D}" name="Výplatní páska" dataDxfId="1019"/>
    <tableColumn id="15" xr3:uid="{CD139DAA-252B-0A40-80AE-6948A2E9BF3C}" name="POSLÁNO NA ÚČET" dataDxfId="1018"/>
    <tableColumn id="16" xr3:uid="{07C15BA8-9E8C-A54E-8A79-0AF85F599983}" name="ÚČET " dataDxfId="1017"/>
    <tableColumn id="17" xr3:uid="{19ABD8A4-6117-8F4B-9134-F1C602D623F7}" name="MĚSÍC" dataDxfId="1016"/>
    <tableColumn id="18" xr3:uid="{67FB8CFD-BFF6-F048-B509-409539945EF3}" name="DATUM" dataDxfId="1015"/>
    <tableColumn id="19" xr3:uid="{8F9C8759-1351-4B4E-A753-7B800AF94922}" name="Mrazák" dataDxfId="1014"/>
  </tableColumns>
  <tableStyleInfo name="TableStyleDark2" showFirstColumn="0" showLastColumn="0" showRowStripes="1" showColumnStripes="0"/>
</table>
</file>

<file path=xl/tables/table4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9" xr:uid="{C6BA6F45-022B-594A-9A79-26592140D331}" name="Tabulka414256796242522292831333649535455565760" displayName="Tabulka414256796242522292831333649535455565760" ref="C2:W36" totalsRowShown="0" headerRowDxfId="1013" dataDxfId="1011" headerRowBorderDxfId="1012" tableBorderDxfId="1010" totalsRowBorderDxfId="1009">
  <autoFilter ref="C2:W36" xr:uid="{76D3A18D-D239-3D4A-867D-F6B5D46C7FBE}"/>
  <tableColumns count="21">
    <tableColumn id="1" xr3:uid="{9587A5B0-865C-6746-8448-8E8820BB32FC}" name=" DATUM" dataDxfId="1008"/>
    <tableColumn id="2" xr3:uid="{54AA4BE9-8C53-AB4E-918E-AE67A712737C}" name="DEN" dataDxfId="1007">
      <calculatedColumnFormula>CHOOSE(WEEKDAY(X3),"Po","Út","St","Čt","Pá","So","Ne")</calculatedColumnFormula>
    </tableColumn>
    <tableColumn id="3" xr3:uid="{8EDFDA94-035C-A148-823A-525C80E67921}" name="HOD" dataDxfId="1006">
      <calculatedColumnFormula>I3-G3-H3</calculatedColumnFormula>
    </tableColumn>
    <tableColumn id="4" xr3:uid="{AD48732B-75A3-7048-B5EC-F5C764559811}" name="CEL" dataDxfId="1005">
      <calculatedColumnFormula>(P3*E3)*24</calculatedColumnFormula>
    </tableColumn>
    <tableColumn id="20" xr3:uid="{4F74DA02-2316-C24E-BDB8-664CB9AF122D}" name="OD" dataDxfId="1004"/>
    <tableColumn id="21" xr3:uid="{27B0484D-4A50-FD43-9AE3-7C647771CCC7}" name="Obĕd" dataDxfId="1003">
      <calculatedColumnFormula>H41</calculatedColumnFormula>
    </tableColumn>
    <tableColumn id="5" xr3:uid="{1DE7773B-9E73-524D-95F1-519C0163B09F}" name="DO" dataDxfId="1002"/>
    <tableColumn id="6" xr3:uid="{5B59DCCD-96EA-D445-BA49-EA19E6D14B2F}" name="MĚSTO" dataDxfId="1001"/>
    <tableColumn id="7" xr3:uid="{666E92AE-9472-C946-9828-D29DF0CC3806}" name="FIRMA" dataDxfId="1000"/>
    <tableColumn id="8" xr3:uid="{728B6498-44AA-C048-A50E-4607594D2EF5}" name="STÁT" dataDxfId="999"/>
    <tableColumn id="9" xr3:uid="{EA0158C6-8BFA-9841-8E8B-69285FC22874}" name="SUPERVISOR" dataDxfId="998"/>
    <tableColumn id="10" xr3:uid="{1F06CDD7-E240-9E4D-88A5-CA7EC06CDFA2}" name="FIRMA2" dataDxfId="997"/>
    <tableColumn id="11" xr3:uid="{28E823AA-059A-ED48-B48F-297AC0B7DE9F}" name="AUTO" dataDxfId="996"/>
    <tableColumn id="12" xr3:uid="{393F5992-4D8E-254A-9F3B-7BA5D8E9BCC6}" name="OSOB" dataDxfId="995"/>
    <tableColumn id="13" xr3:uid="{FC79C58F-A350-FE46-998D-5A78D24CA37A}" name="CELKEM HODIN" dataDxfId="994"/>
    <tableColumn id="14" xr3:uid="{BBD6DB04-9954-4E4A-AD07-6DB01496D934}" name="Výplatní páska" dataDxfId="993"/>
    <tableColumn id="15" xr3:uid="{EE7C689E-FCA4-CA41-A967-D35598AC1807}" name="POSLÁNO NA ÚČET" dataDxfId="992"/>
    <tableColumn id="16" xr3:uid="{E89E3831-8276-784F-B990-C098DF6605BE}" name="ÚČET " dataDxfId="991"/>
    <tableColumn id="17" xr3:uid="{6C1D2CEB-802C-F346-89F8-1EF6C005C50A}" name="MĚSÍC" dataDxfId="990"/>
    <tableColumn id="18" xr3:uid="{04EC34CF-E67A-4145-819A-D18E2C166FDB}" name="DATUM" dataDxfId="989"/>
    <tableColumn id="19" xr3:uid="{3002FF32-DA71-BD4A-AC59-6B4B2D3900BF}" name="Mrazák" dataDxfId="988"/>
  </tableColumns>
  <tableStyleInfo name="TableStyleDark2" showFirstColumn="0" showLastColumn="0" showRowStripes="1" showColumnStripes="0"/>
</table>
</file>

<file path=xl/tables/table4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2" xr:uid="{E123DC1F-DB30-BC41-B3D6-EEC0F6AA9E04}" name="Tabulka41425679624252229283133364953545556576063" displayName="Tabulka41425679624252229283133364953545556576063" ref="C2:W36" totalsRowShown="0" headerRowDxfId="987" dataDxfId="985" headerRowBorderDxfId="986" tableBorderDxfId="984" totalsRowBorderDxfId="983">
  <autoFilter ref="C2:W36" xr:uid="{76D3A18D-D239-3D4A-867D-F6B5D46C7FBE}"/>
  <tableColumns count="21">
    <tableColumn id="1" xr3:uid="{5DB96263-3D94-BD4A-9B89-2088127594A2}" name=" DATUM" dataDxfId="982"/>
    <tableColumn id="2" xr3:uid="{7F49747E-D7ED-A148-93CB-632561567668}" name="DEN" dataDxfId="981">
      <calculatedColumnFormula>CHOOSE(WEEKDAY(X3),"Po","Út","St","Čt","Pá","So","Ne")</calculatedColumnFormula>
    </tableColumn>
    <tableColumn id="3" xr3:uid="{0900D73E-F203-C94F-8D29-107A44DD77B2}" name="HOD" dataDxfId="980">
      <calculatedColumnFormula>I3-G3-H3</calculatedColumnFormula>
    </tableColumn>
    <tableColumn id="4" xr3:uid="{BD2FC160-C82E-8440-AC24-FBD51F3AA288}" name="CEL" dataDxfId="979">
      <calculatedColumnFormula>(P3*E3)*24</calculatedColumnFormula>
    </tableColumn>
    <tableColumn id="20" xr3:uid="{C9262B47-AA73-CD49-AA13-B91D7280A632}" name="OD" dataDxfId="978"/>
    <tableColumn id="21" xr3:uid="{47D5E64B-FC75-2642-B96F-83C1E7124D58}" name="Obĕd" dataDxfId="977">
      <calculatedColumnFormula>H41</calculatedColumnFormula>
    </tableColumn>
    <tableColumn id="5" xr3:uid="{F154B42B-10B9-BC46-AA3B-015C55E06310}" name="DO" dataDxfId="976"/>
    <tableColumn id="6" xr3:uid="{C3E07F98-0B82-4D42-AE58-29CA1C187F1E}" name="MĚSTO" dataDxfId="975"/>
    <tableColumn id="7" xr3:uid="{6E23B1F5-61CD-0D4B-8D4A-2E5DE891C767}" name="FIRMA" dataDxfId="974"/>
    <tableColumn id="8" xr3:uid="{7A80E36A-77A9-324F-99FC-93202E5FF832}" name="STÁT" dataDxfId="973"/>
    <tableColumn id="9" xr3:uid="{8A6E4E46-42FB-FA44-9F03-53CB0863A213}" name="SUPERVISOR" dataDxfId="972"/>
    <tableColumn id="10" xr3:uid="{B65EB4D1-04CA-C343-B9F4-E1CBE7B693B5}" name="FIRMA2" dataDxfId="971"/>
    <tableColumn id="11" xr3:uid="{FF7DF332-2102-F040-AB68-5620A0E88091}" name="AUTO" dataDxfId="970"/>
    <tableColumn id="12" xr3:uid="{3BC81DF3-5B9A-584D-8E63-8D66D8B2D045}" name="OSOB" dataDxfId="969"/>
    <tableColumn id="13" xr3:uid="{F4B062F7-CFCC-0D43-A29C-8CD8F49EC94D}" name="CELKEM HODIN" dataDxfId="968"/>
    <tableColumn id="14" xr3:uid="{1CCF18D6-15EC-D04A-A972-CDD5BAC16454}" name="Výplatní páska" dataDxfId="967"/>
    <tableColumn id="15" xr3:uid="{E09B1E0D-4B9C-564D-AF19-B278469AA6ED}" name="POSLÁNO NA ÚČET" dataDxfId="966"/>
    <tableColumn id="16" xr3:uid="{5CB5840E-D34C-9349-8D62-9143127624EA}" name="ÚČET " dataDxfId="965"/>
    <tableColumn id="17" xr3:uid="{9C29124D-8295-AC48-A908-0AEA8BA4CCBB}" name="MĚSÍC" dataDxfId="964"/>
    <tableColumn id="18" xr3:uid="{BBB75CAA-F1D0-1B45-9880-9DC5E0629D60}" name="DATUM" dataDxfId="963"/>
    <tableColumn id="19" xr3:uid="{2129EFB3-E3E0-D349-AF97-A8E23014B482}" name="Mrazák" dataDxfId="962"/>
  </tableColumns>
  <tableStyleInfo name="TableStyleDark2" showFirstColumn="0" showLastColumn="0" showRowStripes="1" showColumnStripes="0"/>
</table>
</file>

<file path=xl/tables/table4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3" xr:uid="{97B500C1-D87C-A64D-8234-BFF6050D1637}" name="Tabulka4142567962425222928313336495354555657606364" displayName="Tabulka4142567962425222928313336495354555657606364" ref="C2:W36" totalsRowShown="0" headerRowDxfId="961" dataDxfId="959" headerRowBorderDxfId="960" tableBorderDxfId="958" totalsRowBorderDxfId="957">
  <autoFilter ref="C2:W36" xr:uid="{76D3A18D-D239-3D4A-867D-F6B5D46C7FBE}"/>
  <tableColumns count="21">
    <tableColumn id="1" xr3:uid="{C9752C4A-B820-A24F-A1CC-5BC3B5834EF3}" name=" DATUM" dataDxfId="956"/>
    <tableColumn id="2" xr3:uid="{1F659B80-B81F-CA4C-BDA4-92168917806C}" name="DEN" dataDxfId="955">
      <calculatedColumnFormula>CHOOSE(WEEKDAY(X3),"Po","Út","St","Čt","Pá","So","Ne")</calculatedColumnFormula>
    </tableColumn>
    <tableColumn id="3" xr3:uid="{1E83F1D0-274F-7B44-8273-D80DF1CF63CB}" name="HOD" dataDxfId="954">
      <calculatedColumnFormula>I3-G3-H3</calculatedColumnFormula>
    </tableColumn>
    <tableColumn id="4" xr3:uid="{144D6FCF-6E93-EE45-9AF1-5F700F6ACF1F}" name="CEL" dataDxfId="953">
      <calculatedColumnFormula>(P3*E3)*24</calculatedColumnFormula>
    </tableColumn>
    <tableColumn id="20" xr3:uid="{65B0AB18-DF5B-C54E-BF80-08AB0EEAA6B8}" name="OD" dataDxfId="952"/>
    <tableColumn id="21" xr3:uid="{7229D733-989B-954C-8732-FCFA06B259CE}" name="Obĕd" dataDxfId="951">
      <calculatedColumnFormula>H41</calculatedColumnFormula>
    </tableColumn>
    <tableColumn id="5" xr3:uid="{2A5E95AB-62E9-1B42-B48A-6A4C2D83529E}" name="DO" dataDxfId="950"/>
    <tableColumn id="6" xr3:uid="{B874EE8E-62CC-9444-BF9A-19868F6C7DBA}" name="MĚSTO" dataDxfId="949"/>
    <tableColumn id="7" xr3:uid="{2081B28E-BEEC-9744-97E1-0F9A94B7E54B}" name="FIRMA" dataDxfId="948"/>
    <tableColumn id="8" xr3:uid="{2211622A-C0A6-194D-AF76-E6ED32DE0E0A}" name="STÁT" dataDxfId="947"/>
    <tableColumn id="9" xr3:uid="{DB7C4868-DAD6-104B-8CE6-8879F25EDB2C}" name="SUPERVISOR" dataDxfId="946"/>
    <tableColumn id="10" xr3:uid="{5CF9D9DD-6598-2D44-8141-2CE2E3BE2943}" name="FIRMA2" dataDxfId="945"/>
    <tableColumn id="11" xr3:uid="{B369676D-92C6-F946-B27D-7BB551F7F06A}" name="AUTO" dataDxfId="944"/>
    <tableColumn id="12" xr3:uid="{9667007E-FBCA-A146-A3F9-1FF2697D85DC}" name="OSOB" dataDxfId="943"/>
    <tableColumn id="13" xr3:uid="{A20C5E40-1C90-AE49-9CB0-7BA96FBCD403}" name="CELKEM HODIN" dataDxfId="942"/>
    <tableColumn id="14" xr3:uid="{D36D847F-0096-1141-AA9B-079D2FFA81EC}" name="Výplatní páska" dataDxfId="941"/>
    <tableColumn id="15" xr3:uid="{9B54B566-E768-1740-BE62-40F913D08ADC}" name="POSLÁNO NA ÚČET" dataDxfId="940"/>
    <tableColumn id="16" xr3:uid="{76F02C83-5B89-FC44-A3CF-0F00FB3C9F3D}" name="ÚČET " dataDxfId="939"/>
    <tableColumn id="17" xr3:uid="{A88C26A5-AA40-C14C-8ABD-8817DF78EEF3}" name="MĚSÍC" dataDxfId="938"/>
    <tableColumn id="18" xr3:uid="{E4B95C37-78B0-E149-9487-E4037340A816}" name="DATUM" dataDxfId="937"/>
    <tableColumn id="19" xr3:uid="{9B059DEC-C05A-354A-8415-6C17015A95F3}" name="Mrazák" dataDxfId="936"/>
  </tableColumns>
  <tableStyleInfo name="TableStyleDark2" showFirstColumn="0" showLastColumn="0" showRowStripes="1" showColumnStripes="0"/>
</table>
</file>

<file path=xl/tables/table4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8" xr:uid="{94127684-7A0A-6642-ACEC-63023DC9B1CC}" name="Tabulka121535101118232627323427354448525859" displayName="Tabulka121535101118232627323427354448525859" ref="A2:AG42" totalsRowShown="0" headerRowDxfId="935" dataDxfId="934" tableBorderDxfId="933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E30B9F7E-8B25-F540-ADEC-D2D0D16BFCE5}" name="Kartou" dataDxfId="932"/>
    <tableColumn id="2" xr3:uid="{EAE47F0A-4ACC-DF47-8081-53A412F0CFD8}" name="Datum" dataDxfId="931"/>
    <tableColumn id="3" xr3:uid="{D22221EE-6071-D04E-9BCA-7C393250CC5E}" name="Hotově" dataDxfId="930"/>
    <tableColumn id="4" xr3:uid="{667DF66A-1C93-E949-9865-7A4FF9F590E8}" name="Kartou " dataDxfId="929"/>
    <tableColumn id="5" xr3:uid="{3AA5EF49-0463-6349-9D59-DC44762CD2F4}" name="Datum " dataDxfId="928"/>
    <tableColumn id="6" xr3:uid="{A21AB92A-EA5B-C54B-89B8-DDDA5D861170}" name="Hotově " dataDxfId="927"/>
    <tableColumn id="7" xr3:uid="{36B4D180-4745-F44A-B8C7-E0DD5A81BA4C}" name="Hotově  " dataDxfId="926"/>
    <tableColumn id="8" xr3:uid="{AC5FD56A-53C8-3D46-A089-EF398BCC57E3}" name="Kartou  " dataDxfId="925"/>
    <tableColumn id="9" xr3:uid="{ED8C89FA-6FBF-AD47-930D-825FCE854610}" name="Hotově   " dataDxfId="924"/>
    <tableColumn id="10" xr3:uid="{169C993C-45C7-2D48-A7F8-96EDFB5ACF08}" name="Datum   " dataDxfId="923"/>
    <tableColumn id="11" xr3:uid="{29EA935D-FCD0-FF49-9FCF-062240A4952C}" name="Kartou   " dataDxfId="922"/>
    <tableColumn id="12" xr3:uid="{306A9218-9812-1D43-8D19-F1C315D13072}" name="CZE" dataDxfId="921"/>
    <tableColumn id="13" xr3:uid="{34774F11-041A-6F47-B573-F272EA7281FF}" name="POPIS" dataDxfId="920"/>
    <tableColumn id="14" xr3:uid="{F6B8A03B-88B0-6F4D-BF63-5FA1DC784594}" name="EURO" dataDxfId="919"/>
    <tableColumn id="15" xr3:uid="{12ACBDC3-2158-E945-9327-36C46461E091}" name="EURO " dataDxfId="918">
      <calculatedColumnFormula>AG44-AK6-AI3</calculatedColumnFormula>
    </tableColumn>
    <tableColumn id="16" xr3:uid="{290A6D2C-B7E9-C940-A11B-9F45D5A52B19}" name="CZE " dataDxfId="917"/>
    <tableColumn id="17" xr3:uid="{54520D98-F203-6A45-8CA7-6B6865E647E8}" name="Jakub Bláha" dataDxfId="916"/>
    <tableColumn id="18" xr3:uid="{9A787026-A05E-4649-9499-2AA6A5BB3033}" name=" Datum" dataDxfId="915"/>
    <tableColumn id="19" xr3:uid="{110327C1-E41A-AA47-83A1-DA75C2856FC5}" name="Jan Horčička" dataDxfId="914"/>
    <tableColumn id="20" xr3:uid="{78E8F862-246F-2244-B4BC-41C8419495FC}" name="  Datum" dataDxfId="913"/>
    <tableColumn id="21" xr3:uid="{7FFA291C-B192-FC4F-ABC4-E1C5B0C35E65}" name="Patrik Michalička" dataDxfId="912"/>
    <tableColumn id="22" xr3:uid="{1E71FE75-D94E-7E4C-8E5F-F427C39BCD96}" name=" Datum " dataDxfId="911"/>
    <tableColumn id="35" xr3:uid="{55CB2EF0-D486-D04E-99AB-50C41BE9AEE2}" name="Lukáš Janík" dataDxfId="910"/>
    <tableColumn id="36" xr3:uid="{92BBF72D-FA21-5C4F-B867-86BFF394FB6B}" name=" Datum  " dataDxfId="909"/>
    <tableColumn id="33" xr3:uid="{95073D5E-2E94-C243-825A-5B8B2D2670B0}" name="1" dataDxfId="908"/>
    <tableColumn id="34" xr3:uid="{D0108654-55F6-A04B-A5CF-C3ADE72ED6E1}" name="  Datum  " dataDxfId="907"/>
    <tableColumn id="23" xr3:uid="{B150F938-B485-FF43-8D64-5D09D9F5C7F6}" name="4" dataDxfId="906"/>
    <tableColumn id="24" xr3:uid="{F8E6CFF6-E9CB-E64E-B6F4-A489429487FA}" name="  Datum " dataDxfId="905"/>
    <tableColumn id="25" xr3:uid="{9CAA1503-623F-FD44-993A-9554D6D5F287}" name="7" dataDxfId="904"/>
    <tableColumn id="26" xr3:uid="{D92C9062-B6E4-0446-9265-7990BB09B66F}" name="  Datum   " dataDxfId="903"/>
    <tableColumn id="27" xr3:uid="{D653F379-CA97-5547-8955-F5965CE3CF77}" name="CZE," dataDxfId="902"/>
    <tableColumn id="28" xr3:uid="{4E91D9C9-1A0D-4244-A569-F5925CFF7D52}" name="   DATUM " dataDxfId="901"/>
    <tableColumn id="29" xr3:uid="{0118A263-5307-CA45-BF12-B3DBD3C7957C}" name="EURO," dataDxfId="900">
      <calculatedColumnFormula>'03cash22'!AI3</calculatedColumnFormula>
    </tableColumn>
  </tableColumns>
  <tableStyleInfo name="TableStyleDark2" showFirstColumn="0" showLastColumn="0" showRowStripes="1" showColumnStripes="0"/>
</table>
</file>

<file path=xl/tables/table4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7" xr:uid="{A0909FED-9629-9840-9160-B35D2B8E4952}" name="Tabulka1215351011182326273234273544485258" displayName="Tabulka1215351011182326273234273544485258" ref="A2:AG42" totalsRowShown="0" headerRowDxfId="899" dataDxfId="898" tableBorderDxfId="897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29A5F549-7DCB-4E42-BC0E-5FD09CD0892D}" name="Kartou" dataDxfId="896"/>
    <tableColumn id="2" xr3:uid="{40879868-C825-5B46-B96A-8C0EF58CE49F}" name="Datum" dataDxfId="895"/>
    <tableColumn id="3" xr3:uid="{8985FD02-399D-0E4A-984A-526D9A4616C3}" name="Hotově" dataDxfId="894"/>
    <tableColumn id="4" xr3:uid="{EA330306-DB83-7F43-BBBA-D56ED0E19977}" name="Kartou " dataDxfId="893"/>
    <tableColumn id="5" xr3:uid="{4D3065DA-9827-AE46-BCB1-D82EF562A2E4}" name="Datum " dataDxfId="892"/>
    <tableColumn id="6" xr3:uid="{689A08FB-4FF6-1043-829A-DF21C8BB4FD5}" name="Hotově " dataDxfId="891"/>
    <tableColumn id="7" xr3:uid="{41D02929-279B-7942-A7DA-24CA18F252A6}" name="Hotově  " dataDxfId="890"/>
    <tableColumn id="8" xr3:uid="{FF94FCE6-51CF-7242-9356-FC585C40724E}" name="Kartou  " dataDxfId="889"/>
    <tableColumn id="9" xr3:uid="{71CD8CD6-1DA7-2B4B-A644-9A3813282680}" name="Hotově   " dataDxfId="888"/>
    <tableColumn id="10" xr3:uid="{3EE28517-3A6E-B744-8E18-1E9FD8AD013C}" name="Datum   " dataDxfId="887"/>
    <tableColumn id="11" xr3:uid="{EA015793-8D54-E240-BBC2-5BC3F644C8D6}" name="Kartou   " dataDxfId="886"/>
    <tableColumn id="12" xr3:uid="{228DCF92-FEBE-BF46-A8B5-89AFE2BA53D7}" name="CZE" dataDxfId="885"/>
    <tableColumn id="13" xr3:uid="{9CD62E6F-D6EA-DA40-866B-A9FA6B74DC17}" name="POPIS" dataDxfId="884"/>
    <tableColumn id="14" xr3:uid="{F7B94CC8-133C-1E40-91B0-B07D8462DF94}" name="EURO" dataDxfId="883"/>
    <tableColumn id="15" xr3:uid="{58A324A1-4E05-9143-BBDB-20D8ABCF47B7}" name="EURO " dataDxfId="882">
      <calculatedColumnFormula>AG44-AK6-AI3</calculatedColumnFormula>
    </tableColumn>
    <tableColumn id="16" xr3:uid="{4FD9F985-112F-0E4E-ABCB-C08D51F528B5}" name="CZE " dataDxfId="881"/>
    <tableColumn id="17" xr3:uid="{D23D6B8C-3107-2149-AA6C-6EBB3C379EB4}" name="x" dataDxfId="880"/>
    <tableColumn id="18" xr3:uid="{65CCB133-6BC5-8F41-A25F-30387DBEFB6E}" name=" Datum" dataDxfId="879"/>
    <tableColumn id="19" xr3:uid="{0CE0030C-AB02-504D-9BAE-C1F9763E21FC}" name="xx" dataDxfId="878"/>
    <tableColumn id="20" xr3:uid="{B0E2F7F2-C15D-294F-B6A4-83DAB183B98B}" name="  Datum" dataDxfId="877"/>
    <tableColumn id="21" xr3:uid="{1B63BF9C-BDED-9542-85FD-47973C188A71}" name="Jakub Bláha" dataDxfId="876"/>
    <tableColumn id="22" xr3:uid="{680947C0-CCD3-F345-9610-D70AD6490366}" name=" Datum " dataDxfId="875"/>
    <tableColumn id="35" xr3:uid="{390392BF-7F98-CB4B-B0AE-41A36940E9E1}" name="0" dataDxfId="874"/>
    <tableColumn id="36" xr3:uid="{A62EB2E4-6D0C-5D48-B3D7-B9B8E6C0EA31}" name=" Datum  " dataDxfId="873"/>
    <tableColumn id="33" xr3:uid="{EC3BFBC3-4E8A-744F-AA1E-6CCB135BD4A5}" name="1" dataDxfId="872"/>
    <tableColumn id="34" xr3:uid="{AD4B03A2-820E-DA4B-BB02-A037160FC00C}" name="  Datum  " dataDxfId="871"/>
    <tableColumn id="23" xr3:uid="{0CAE3EA7-B145-7B4D-B163-276468C73825}" name="4" dataDxfId="870"/>
    <tableColumn id="24" xr3:uid="{DB5FB7B8-C4CD-AC48-A9A5-37AFC0B8DFE4}" name="  Datum " dataDxfId="869"/>
    <tableColumn id="25" xr3:uid="{66D57D95-EC81-4142-BCDC-91817237FA2B}" name="7" dataDxfId="868"/>
    <tableColumn id="26" xr3:uid="{28F5B86C-87F2-D647-809D-0947EFA99306}" name="  Datum   " dataDxfId="867"/>
    <tableColumn id="27" xr3:uid="{A38F0581-538B-8B44-AC74-107037731974}" name="CZE," dataDxfId="866"/>
    <tableColumn id="28" xr3:uid="{96C1E767-FA4B-1E40-81A2-7A2C7C94CB45}" name="   DATUM " dataDxfId="865"/>
    <tableColumn id="29" xr3:uid="{DBDD2E01-4F44-A94C-B3F7-8B136CC2B5A1}" name="EURO," dataDxfId="864">
      <calculatedColumnFormula>'03cash22'!AI3</calculatedColumnFormula>
    </tableColumn>
  </tableColumns>
  <tableStyleInfo name="TableStyleDark2" showFirstColumn="0" showLastColumn="0" showRowStripes="1" showColumnStripes="0"/>
</table>
</file>

<file path=xl/tables/table4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0" xr:uid="{2A6CBE50-D50B-1F48-BFEE-301255DE8B06}" name="Tabulka60" displayName="Tabulka60" ref="AH11:AP37" totalsRowShown="0" dataDxfId="863" tableBorderDxfId="862">
  <autoFilter ref="AH11:AP37" xr:uid="{2A6CBE50-D50B-1F48-BFEE-301255DE8B06}"/>
  <sortState xmlns:xlrd2="http://schemas.microsoft.com/office/spreadsheetml/2017/richdata2" ref="AH12:AL36">
    <sortCondition ref="AH11:AH36"/>
  </sortState>
  <tableColumns count="9">
    <tableColumn id="1" xr3:uid="{7D1BD2AA-2B26-7341-A0FF-D2FCBDBA2379}" name="Datum" dataDxfId="861"/>
    <tableColumn id="2" xr3:uid="{67831BD1-A095-4E41-9F60-33C0BB1AA6DE}" name="Částka €" dataDxfId="860"/>
    <tableColumn id="3" xr3:uid="{0404943C-3E09-6E4B-8A74-820248D0F463}" name="Částka Kč" dataDxfId="859"/>
    <tableColumn id="4" xr3:uid="{DBFA05E3-B8D7-9440-AD49-1803D8B17F48}" name="Poplatek €" dataDxfId="858"/>
    <tableColumn id="5" xr3:uid="{DB0F70ED-C30B-3946-A484-B1DF96A55B07}" name="Poplatek Kč" dataDxfId="857"/>
    <tableColumn id="10" xr3:uid="{B4AE4104-D517-A240-9B0C-C88AEFE1C279}" name="DATUM2" dataDxfId="856"/>
    <tableColumn id="11" xr3:uid="{08E637D7-4382-4E43-A3BB-1A7F2D9AA6BE}" name="++EURA++" dataDxfId="855"/>
    <tableColumn id="12" xr3:uid="{4949230B-CF6B-F14C-A458-A9115B9407D1}" name="--CZK--" dataDxfId="854"/>
    <tableColumn id="13" xr3:uid="{B973237D-4A89-D045-9F92-91EF84EE99E8}" name="Poplatky" dataDxfId="853"/>
  </tableColumns>
  <tableStyleInfo showFirstColumn="0" showLastColumn="0" showRowStripes="1" showColumnStripes="0"/>
</table>
</file>

<file path=xl/tables/table4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1" xr:uid="{D4702242-81B9-B743-A65E-0DD09C1B75A9}" name="Tabulka61" displayName="Tabulka61" ref="AO1:AP8" totalsRowShown="0" dataDxfId="852">
  <autoFilter ref="AO1:AP8" xr:uid="{D4702242-81B9-B743-A65E-0DD09C1B75A9}"/>
  <sortState xmlns:xlrd2="http://schemas.microsoft.com/office/spreadsheetml/2017/richdata2" ref="AO2:AP8">
    <sortCondition ref="AO1:AO8"/>
  </sortState>
  <tableColumns count="2">
    <tableColumn id="1" xr3:uid="{26F82516-9615-9246-8AD4-FAE3DA23F7F2}" name="Datum" dataDxfId="851"/>
    <tableColumn id="2" xr3:uid="{23F3F821-DDF8-F94D-85DB-1A14EF4551F3}" name="Částka Kč" dataDxfId="850"/>
  </tableColumns>
  <tableStyleInfo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8F9FF86D-5B93-914A-91A0-1490A0ADCF6A}" name="Tabulka414256796192021" displayName="Tabulka414256796192021" ref="A1:U35" totalsRowShown="0" headerRowDxfId="1971" dataDxfId="1969" headerRowBorderDxfId="1970" tableBorderDxfId="1968" totalsRowBorderDxfId="1967">
  <autoFilter ref="A1:U35" xr:uid="{76D3A18D-D239-3D4A-867D-F6B5D46C7FBE}"/>
  <tableColumns count="21">
    <tableColumn id="1" xr3:uid="{4E78EA62-BE43-E54D-B2CC-459C61186AF5}" name=" DATUM" dataDxfId="1966"/>
    <tableColumn id="2" xr3:uid="{61FD18E3-4C2C-7A43-A6AA-D70DA2BDD30E}" name="DEN" dataDxfId="1965">
      <calculatedColumnFormula>CHOOSE(WEEKDAY(V2),"Po","Út","St","Čt","Pá","So","Ne")</calculatedColumnFormula>
    </tableColumn>
    <tableColumn id="3" xr3:uid="{4FAA63F2-4144-3A48-A387-3A0B32F5F7CA}" name="HOD" dataDxfId="1964">
      <calculatedColumnFormula>G2-E2-F2</calculatedColumnFormula>
    </tableColumn>
    <tableColumn id="4" xr3:uid="{3F806D41-804C-2548-9303-FDAE04D56372}" name="CEL" dataDxfId="1963">
      <calculatedColumnFormula>(N2*C2)*24</calculatedColumnFormula>
    </tableColumn>
    <tableColumn id="20" xr3:uid="{151A2D16-0FF1-9C43-B5BE-AF0E02DECD2F}" name="OD" dataDxfId="1962"/>
    <tableColumn id="21" xr3:uid="{52CAEB2B-8855-FE4F-BB59-8BFB848B2549}" name="Obĕd" dataDxfId="1961">
      <calculatedColumnFormula>TIME(0,30,0)</calculatedColumnFormula>
    </tableColumn>
    <tableColumn id="5" xr3:uid="{D9BC0D6B-D688-924A-8C15-CEACBD399D97}" name="DO" dataDxfId="1960"/>
    <tableColumn id="6" xr3:uid="{FB69EEEC-8601-164A-B676-C44FF3797AFD}" name="MĚSTO" dataDxfId="1959"/>
    <tableColumn id="7" xr3:uid="{0CAB0A7D-F841-D84C-A867-3C6989CFAD69}" name="FIRMA" dataDxfId="1958"/>
    <tableColumn id="8" xr3:uid="{F41BC450-E2A7-524C-8C5A-73D3A7CD2890}" name="STÁT" dataDxfId="1957"/>
    <tableColumn id="9" xr3:uid="{065BD277-98F3-5A41-A89C-2940C81CE0B3}" name="SUPERVISOR" dataDxfId="1956"/>
    <tableColumn id="10" xr3:uid="{2470EC50-2ECA-2D45-82DA-76D3741AED38}" name="FIRMA2" dataDxfId="1955"/>
    <tableColumn id="11" xr3:uid="{DEAE9D66-77AB-604D-90E0-0D32957EB188}" name="AUTO" dataDxfId="1954"/>
    <tableColumn id="12" xr3:uid="{02CC8CF2-0E19-8743-8689-F5EA01C57F53}" name="OSOB" dataDxfId="1953"/>
    <tableColumn id="13" xr3:uid="{16DBF374-88E9-AC4C-8D3F-9BF5527C528E}" name="CELKEM HODIN" dataDxfId="1952"/>
    <tableColumn id="14" xr3:uid="{1E6820DF-0399-3C4B-AFB3-7DA7ABE97A61}" name="Výplatní páska" dataDxfId="1951"/>
    <tableColumn id="15" xr3:uid="{D5E44295-987D-9E4F-955E-392C0AC53C05}" name="POSLÁNO NA ÚČET" dataDxfId="1950"/>
    <tableColumn id="16" xr3:uid="{63E9DCE4-C112-0A48-A4DD-ED430F0B0643}" name="ÚČET " dataDxfId="1949"/>
    <tableColumn id="17" xr3:uid="{FEF1D643-5B8C-CA46-90DD-C9BFA95F8006}" name="MĚSÍC" dataDxfId="1948"/>
    <tableColumn id="18" xr3:uid="{D6EBD974-FD02-7942-852B-A0754E77081F}" name="DATUM" dataDxfId="1947"/>
    <tableColumn id="19" xr3:uid="{D1389F5D-9D01-424A-AD7C-75A46DF91982}" name="Mrazák" dataDxfId="1946"/>
  </tableColumns>
  <tableStyleInfo name="TableStyleDark2" showFirstColumn="0" showLastColumn="0" showRowStripes="1" showColumnStripes="0"/>
</table>
</file>

<file path=xl/tables/table5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0" xr:uid="{9EC4CE44-3840-FF40-B566-89390D8C09AF}" name="Tabulka1215351011182326273234273544485251" displayName="Tabulka1215351011182326273234273544485251" ref="A2:AG42" totalsRowShown="0" headerRowDxfId="849" dataDxfId="848" tableBorderDxfId="847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DFFEBABF-0370-7949-8582-EDF1B5DC9F65}" name="Kartou" dataDxfId="846"/>
    <tableColumn id="2" xr3:uid="{0760AA27-88A9-724C-8C09-F07DB59F30B4}" name="Datum" dataDxfId="845"/>
    <tableColumn id="3" xr3:uid="{EF1F92F7-BB67-C148-8033-CAD8F1BFA5A6}" name="Hotově" dataDxfId="844"/>
    <tableColumn id="4" xr3:uid="{856592DE-617C-0B42-8E2C-E7C1A0FA097B}" name="Kartou " dataDxfId="843"/>
    <tableColumn id="5" xr3:uid="{836C2D8D-3C51-5346-B5F8-4DAF8A44ADD2}" name="Datum " dataDxfId="842"/>
    <tableColumn id="6" xr3:uid="{4B4FD960-2C05-7943-9AF3-8A6F2F0AA95E}" name="Hotově " dataDxfId="841"/>
    <tableColumn id="7" xr3:uid="{2390BB2A-89B1-D542-AB60-38D5C53B95B5}" name="Hotově  " dataDxfId="840"/>
    <tableColumn id="8" xr3:uid="{35BE07C2-CC5B-3D4C-A65F-734C17111BF1}" name="Kartou  " dataDxfId="839"/>
    <tableColumn id="9" xr3:uid="{5C4D06A9-78D8-034C-9851-94FBE419E4AB}" name="Hotově   " dataDxfId="838"/>
    <tableColumn id="10" xr3:uid="{D2032E67-11CA-3040-8712-4775762A28B7}" name="Datum   " dataDxfId="837"/>
    <tableColumn id="11" xr3:uid="{656CB256-486F-DD48-BC65-A1BA2163BC35}" name="Kartou   " dataDxfId="836"/>
    <tableColumn id="12" xr3:uid="{C821732B-1979-6F41-AE4F-7BD0F6255504}" name="CZE" dataDxfId="835"/>
    <tableColumn id="13" xr3:uid="{BB8A6A51-0EA7-5346-8EE8-77AD7AF870E2}" name="POPIS" dataDxfId="834"/>
    <tableColumn id="14" xr3:uid="{D7DE8662-97EA-5248-AE85-AD499E4BAF2D}" name="EURO" dataDxfId="833"/>
    <tableColumn id="15" xr3:uid="{982139D2-FF3C-5F43-A40D-04EC5E910B6F}" name="EURO " dataDxfId="832">
      <calculatedColumnFormula>AG44-AK6-AI3</calculatedColumnFormula>
    </tableColumn>
    <tableColumn id="16" xr3:uid="{B0085689-9D2B-F840-B7E4-4D59E240CA70}" name="CZE " dataDxfId="831"/>
    <tableColumn id="17" xr3:uid="{BF5E2658-532D-5742-95B4-636454CB3B09}" name="Jakub Bláha  " dataDxfId="830"/>
    <tableColumn id="18" xr3:uid="{9826FA8D-883A-7341-9AFE-CC9ACE2B6CA9}" name=" Datum" dataDxfId="829"/>
    <tableColumn id="19" xr3:uid="{6B0BEFC0-CBA1-9B45-B208-CF387CAF20AE}" name="Pavel Zoula" dataDxfId="828"/>
    <tableColumn id="20" xr3:uid="{7E48B3D3-CBE9-7545-947A-3ED0E8159952}" name="  Datum" dataDxfId="827"/>
    <tableColumn id="21" xr3:uid="{9FD448F4-D8C2-1244-8D1E-D63E7CDE1260}" name="0.1" dataDxfId="826"/>
    <tableColumn id="22" xr3:uid="{C9413B6E-0298-164D-BF33-F7FA9FC31943}" name=" Datum " dataDxfId="825"/>
    <tableColumn id="35" xr3:uid="{CF8D29DF-8F68-D04C-8A07-919F4EFA5E24}" name="0" dataDxfId="824"/>
    <tableColumn id="36" xr3:uid="{3132E460-83EA-DA40-BC15-97F683D43D62}" name=" Datum  " dataDxfId="823"/>
    <tableColumn id="33" xr3:uid="{24933A39-5F03-0D4D-A2B2-39B01FDDC7EE}" name="1" dataDxfId="822"/>
    <tableColumn id="34" xr3:uid="{1C04065D-B0B3-254E-BBC6-FAEBB792E8DF}" name="  Datum  " dataDxfId="821"/>
    <tableColumn id="23" xr3:uid="{230447BB-3B2A-EC41-A687-E0637C1F61DA}" name="4" dataDxfId="820"/>
    <tableColumn id="24" xr3:uid="{E2DB312B-F52D-DF49-8371-2710BD974CA1}" name="  Datum " dataDxfId="819"/>
    <tableColumn id="25" xr3:uid="{BD652CB2-95B3-7549-902C-0413346224D7}" name="7" dataDxfId="818"/>
    <tableColumn id="26" xr3:uid="{31E90787-3C26-194B-82C8-F4F009B50A53}" name="  Datum   " dataDxfId="817"/>
    <tableColumn id="27" xr3:uid="{6005E219-9E14-6B4F-8030-CF76EE88E32F}" name="CZE," dataDxfId="816"/>
    <tableColumn id="28" xr3:uid="{E3F35CA0-6BB8-334E-A4D0-909C1AECECEB}" name="   DATUM " dataDxfId="815"/>
    <tableColumn id="29" xr3:uid="{D84AB9BC-BA03-D44A-B265-008992458497}" name="EURO," dataDxfId="814">
      <calculatedColumnFormula>'03cash22'!AI3</calculatedColumnFormula>
    </tableColumn>
  </tableColumns>
  <tableStyleInfo name="TableStyleDark2" showFirstColumn="0" showLastColumn="0" showRowStripes="1" showColumnStripes="0"/>
</table>
</file>

<file path=xl/tables/table5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4" xr:uid="{FDD82ADF-1F13-A84A-9FE8-B55078AC9214}" name="Tabulka1215351011182326273234273544485235" displayName="Tabulka1215351011182326273234273544485235" ref="A2:AG42" totalsRowShown="0" headerRowDxfId="813" dataDxfId="812" tableBorderDxfId="811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0D60CFC1-8F4A-6740-AA55-D8F627C88AF1}" name="Kartou" dataDxfId="810"/>
    <tableColumn id="2" xr3:uid="{04A002CD-5B8F-F948-BC09-4C596BB03896}" name="Datum" dataDxfId="809"/>
    <tableColumn id="3" xr3:uid="{28BF4F7F-70AC-484D-918F-96B7574560AE}" name="Hotově" dataDxfId="808"/>
    <tableColumn id="4" xr3:uid="{9EF14637-AE62-A14D-B5DD-70F66A531700}" name="Kartou " dataDxfId="807"/>
    <tableColumn id="5" xr3:uid="{575DB15D-8B54-2748-B333-E3E82667A9B2}" name="Datum " dataDxfId="806"/>
    <tableColumn id="6" xr3:uid="{7A31D00D-AE5F-BA4B-9A79-CC9C4CC6D6BF}" name="Hotově " dataDxfId="805"/>
    <tableColumn id="7" xr3:uid="{DA1C9480-34FA-2F4D-991E-870C34FEA1EB}" name="Hotově  " dataDxfId="804"/>
    <tableColumn id="8" xr3:uid="{0F0A806D-9126-C34B-ABD6-01004AF9FADA}" name="Kartou  " dataDxfId="803"/>
    <tableColumn id="9" xr3:uid="{0649F237-12D8-1D4A-AF4D-3D9E9EAD324E}" name="Hotově   " dataDxfId="802"/>
    <tableColumn id="10" xr3:uid="{934B1425-6C83-634D-B9C6-E279AD011BAC}" name="Datum   " dataDxfId="801"/>
    <tableColumn id="11" xr3:uid="{5D23F014-E382-B54A-9438-11A808345672}" name="Kartou   " dataDxfId="800"/>
    <tableColumn id="12" xr3:uid="{6B49B417-0268-C44C-9BEA-966E70612DA0}" name="CZE" dataDxfId="799"/>
    <tableColumn id="13" xr3:uid="{D8E2D73F-1451-7340-8853-C3FE946B60E1}" name="POPIS" dataDxfId="798"/>
    <tableColumn id="14" xr3:uid="{AE08C649-87B9-B548-8ED9-FC59A23290B8}" name="EURO" dataDxfId="797"/>
    <tableColumn id="15" xr3:uid="{B5FD352F-F139-434E-9DEA-0EDB80AB53C3}" name="EURO " dataDxfId="796">
      <calculatedColumnFormula>AG44-AK6-AI3</calculatedColumnFormula>
    </tableColumn>
    <tableColumn id="16" xr3:uid="{2E7A04C5-2F13-464E-984A-6F8B031E28DA}" name="CZE " dataDxfId="795"/>
    <tableColumn id="17" xr3:uid="{11BF0918-D53A-5141-A351-6E1FBBC3C15B}" name="Ondřej Klimeš " dataDxfId="794"/>
    <tableColumn id="18" xr3:uid="{C686B2D5-996E-1F48-985B-4FD715ABF638}" name=" Datum" dataDxfId="793"/>
    <tableColumn id="19" xr3:uid="{DA33C1E1-1FA4-B74D-AA3B-A5C2A291FC6B}" name="Pavel Zoula" dataDxfId="792"/>
    <tableColumn id="20" xr3:uid="{82586001-41DE-7E43-B631-766BD0F3FBEE}" name="  Datum" dataDxfId="791"/>
    <tableColumn id="21" xr3:uid="{26E9C7B7-B8D8-BF4E-8790-806E1A5EEDF7}" name="Jakub Bláha" dataDxfId="790"/>
    <tableColumn id="22" xr3:uid="{CB8575BE-4672-684A-8600-D5C241BD3A1D}" name=" Datum " dataDxfId="789"/>
    <tableColumn id="35" xr3:uid="{A7208075-C18F-E642-9C2E-2AC2A92DD1CB}" name="0" dataDxfId="788"/>
    <tableColumn id="36" xr3:uid="{B4CCE2D8-0A7D-BB45-9A5C-B55A2C324D51}" name=" Datum  " dataDxfId="787"/>
    <tableColumn id="33" xr3:uid="{E3A8D80C-159F-F942-AE79-5AA3DD1143EE}" name="1" dataDxfId="786"/>
    <tableColumn id="34" xr3:uid="{66AA3D42-A161-A14C-A291-CF8940879EBD}" name="  Datum  " dataDxfId="785"/>
    <tableColumn id="23" xr3:uid="{69839426-275B-5E49-A8BD-22FFD65D6613}" name="4" dataDxfId="784"/>
    <tableColumn id="24" xr3:uid="{D31926A5-9D0A-7941-9B0A-71D404E61A62}" name="  Datum " dataDxfId="783"/>
    <tableColumn id="25" xr3:uid="{2F353631-8D5F-A54B-B2FA-770DBC9FD9F7}" name="7" dataDxfId="782"/>
    <tableColumn id="26" xr3:uid="{BD020856-8DB4-2041-8AE6-5DA60D2C24F9}" name="  Datum   " dataDxfId="781"/>
    <tableColumn id="27" xr3:uid="{D8FB7AF3-48A2-9B40-8BEA-C80F5BED75D9}" name="CZE," dataDxfId="780"/>
    <tableColumn id="28" xr3:uid="{85947D0D-10B2-2844-8971-C02A2CDDEF93}" name="   DATUM " dataDxfId="779"/>
    <tableColumn id="29" xr3:uid="{AB6FC02E-A003-B549-A5B8-81D072FB015C}" name="EURO," dataDxfId="778">
      <calculatedColumnFormula>'03cash22'!AI3</calculatedColumnFormula>
    </tableColumn>
  </tableColumns>
  <tableStyleInfo name="TableStyleDark2" showFirstColumn="0" showLastColumn="0" showRowStripes="1" showColumnStripes="0"/>
</table>
</file>

<file path=xl/tables/table5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7" xr:uid="{8F761869-5244-B742-B43D-B967B0302714}" name="Tabulka121535101118232627323427354448" displayName="Tabulka121535101118232627323427354448" ref="A2:AG42" totalsRowShown="0" headerRowDxfId="777" dataDxfId="776" tableBorderDxfId="775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B5A5892B-DC95-884B-BBDF-549A1F673B94}" name="Kartou" dataDxfId="774"/>
    <tableColumn id="2" xr3:uid="{B81BD3A6-83AD-0B4E-87AE-0E883E4B021A}" name="Datum" dataDxfId="773"/>
    <tableColumn id="3" xr3:uid="{5E1D299C-F270-A643-9F10-0EB87BC84F53}" name="Hotově" dataDxfId="772"/>
    <tableColumn id="4" xr3:uid="{98F849A1-3F3D-6F4B-B40F-B0B0E3244556}" name="Kartou " dataDxfId="771"/>
    <tableColumn id="5" xr3:uid="{CB16C051-66B0-9C45-B976-CDBCE8482FAF}" name="Datum " dataDxfId="770"/>
    <tableColumn id="6" xr3:uid="{27FF8C61-812C-0241-A313-DA451886AADC}" name="Hotově " dataDxfId="769"/>
    <tableColumn id="7" xr3:uid="{C998F94E-D3F9-C24D-908E-15E2B054EB72}" name="Hotově  " dataDxfId="768"/>
    <tableColumn id="8" xr3:uid="{BF706A70-6621-E743-9A66-E0F53C864BA0}" name="Kartou  " dataDxfId="767"/>
    <tableColumn id="9" xr3:uid="{FAC07927-6F2E-9E47-A27D-3DB0118B3F75}" name="Hotově   " dataDxfId="766"/>
    <tableColumn id="10" xr3:uid="{D2E0AFE9-1CC4-5B40-83EC-DBD7175585D4}" name="Datum   " dataDxfId="765"/>
    <tableColumn id="11" xr3:uid="{C6B344D5-1BBF-AC49-846D-BF6BE4297A0E}" name="Kartou   " dataDxfId="764"/>
    <tableColumn id="12" xr3:uid="{D7EE7595-5D4C-DF4B-8936-5119E3EF1114}" name="CZE" dataDxfId="763"/>
    <tableColumn id="13" xr3:uid="{1AC45778-A7DB-474B-9B09-F778105B0373}" name="POPIS" dataDxfId="762"/>
    <tableColumn id="14" xr3:uid="{FAC318B1-3752-AB48-9329-AC504DDE331C}" name="EURO" dataDxfId="761"/>
    <tableColumn id="15" xr3:uid="{8E2AD7BD-F9C9-654F-8424-9C9A131E70B4}" name="EURO " dataDxfId="760">
      <calculatedColumnFormula>AG44-AK6-AI3</calculatedColumnFormula>
    </tableColumn>
    <tableColumn id="16" xr3:uid="{1E35E098-3714-184B-9F4E-C14C49C4B840}" name="CZE " dataDxfId="759"/>
    <tableColumn id="17" xr3:uid="{94C7983D-D9E6-2D44-BEA6-646A1A838720}" name="Ondřej Klimeš " dataDxfId="758"/>
    <tableColumn id="18" xr3:uid="{31CB0D1D-46A2-0448-933F-4871AB41E5B5}" name=" Datum" dataDxfId="757"/>
    <tableColumn id="19" xr3:uid="{24431F64-56FB-8E4A-A0D4-E1EA1C377602}" name="Pavel Zoula" dataDxfId="756"/>
    <tableColumn id="20" xr3:uid="{94596CDE-A5ED-F94B-A362-A91CADD4EA82}" name="  Datum" dataDxfId="755"/>
    <tableColumn id="21" xr3:uid="{6805371D-92F6-B64F-9320-AB3CAC8A0DF1}" name="Jakub Bláha" dataDxfId="754"/>
    <tableColumn id="22" xr3:uid="{8A25D1FA-41EF-1D46-8B52-F44631C8DAD6}" name=" Datum " dataDxfId="753"/>
    <tableColumn id="35" xr3:uid="{7DF8AB79-9BEB-EF4A-A7FD-FB26E40AE203}" name="0" dataDxfId="752"/>
    <tableColumn id="36" xr3:uid="{25771DC9-4101-5F40-AC21-9C6BCF135AB3}" name=" Datum  " dataDxfId="751"/>
    <tableColumn id="33" xr3:uid="{EAD7E093-06EF-2543-A1D8-49CFC054B264}" name="1" dataDxfId="750"/>
    <tableColumn id="34" xr3:uid="{8B53991C-7697-764E-93C8-94A46DD08766}" name="  Datum  " dataDxfId="749"/>
    <tableColumn id="23" xr3:uid="{714562F1-DC20-3241-805F-5B1BA131A8ED}" name="4" dataDxfId="748"/>
    <tableColumn id="24" xr3:uid="{3F73A229-E7D9-134A-A460-8186A198C487}" name="  Datum " dataDxfId="747"/>
    <tableColumn id="25" xr3:uid="{59AA41C4-021B-CC47-A339-D8DE0023B7A9}" name="7" dataDxfId="746"/>
    <tableColumn id="26" xr3:uid="{5CD4CDB7-5D16-2848-8A4B-D5C098B99410}" name="  Datum   " dataDxfId="745"/>
    <tableColumn id="27" xr3:uid="{C4DDB31E-56A6-6346-A09F-E62E74948220}" name="CZE," dataDxfId="744"/>
    <tableColumn id="28" xr3:uid="{93108575-FB16-4C45-A045-70BD03405A85}" name="   DATUM " dataDxfId="743"/>
    <tableColumn id="29" xr3:uid="{2E5F2CF8-A5EF-F24D-9F8E-7769A84214C2}" name="EURO," dataDxfId="742">
      <calculatedColumnFormula>'03cash22'!AI3</calculatedColumnFormula>
    </tableColumn>
  </tableColumns>
  <tableStyleInfo name="TableStyleDark2" showFirstColumn="0" showLastColumn="0" showRowStripes="1" showColumnStripes="0"/>
</table>
</file>

<file path=xl/tables/table5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3" xr:uid="{76E8DACC-589B-6843-89AA-04CDC65133C4}" name="Tabulka1215351011182326273234273544" displayName="Tabulka1215351011182326273234273544" ref="A2:AG42" totalsRowShown="0" headerRowDxfId="741" dataDxfId="740" tableBorderDxfId="739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6AA841EC-56F9-EA47-B88C-A7176EB6A7C8}" name="Kartou" dataDxfId="738"/>
    <tableColumn id="2" xr3:uid="{F8E587CD-354C-334D-8F43-D088D16B0E1F}" name="Datum" dataDxfId="737"/>
    <tableColumn id="3" xr3:uid="{6BED8FF4-D18B-4A4C-B978-D7BEF58D35CC}" name="Hotově" dataDxfId="736"/>
    <tableColumn id="4" xr3:uid="{F1EFFE19-470C-6B45-BD90-E8CAFDA49942}" name="Kartou " dataDxfId="735"/>
    <tableColumn id="5" xr3:uid="{50A8E14E-660D-474F-8D43-062095D0E499}" name="Datum " dataDxfId="734"/>
    <tableColumn id="6" xr3:uid="{F136EAFF-214A-E14C-B91D-68FBD7C82701}" name="Hotově " dataDxfId="733"/>
    <tableColumn id="7" xr3:uid="{79BD51D1-5E1F-4145-94E9-3EAE4B73AAF3}" name="Hotově  " dataDxfId="732"/>
    <tableColumn id="8" xr3:uid="{E5825359-1462-3849-A137-EEA62C01F315}" name="Kartou  " dataDxfId="731"/>
    <tableColumn id="9" xr3:uid="{526D93B2-4E1A-BD4E-A406-076A65612AEE}" name="Hotově   " dataDxfId="730"/>
    <tableColumn id="10" xr3:uid="{6AAE8B49-D8C7-4143-B41C-784E898CF013}" name="Datum   " dataDxfId="729"/>
    <tableColumn id="11" xr3:uid="{D64C3685-5678-8444-8AF2-B3F6F4ED176C}" name="Kartou   " dataDxfId="728"/>
    <tableColumn id="12" xr3:uid="{55553184-7F9E-FD4E-8ABA-4376974692AC}" name="CZE" dataDxfId="727"/>
    <tableColumn id="13" xr3:uid="{2E852F2A-81F9-A64B-8FE6-D313E35466A6}" name="POPIS" dataDxfId="726"/>
    <tableColumn id="14" xr3:uid="{890E3A02-449E-DA41-8788-3243003E6DA8}" name="EURO" dataDxfId="725"/>
    <tableColumn id="15" xr3:uid="{EB494518-D015-0C40-AB4C-CBFC2EC0EB98}" name="EURO " dataDxfId="724">
      <calculatedColumnFormula>AG44-AK6-AI3</calculatedColumnFormula>
    </tableColumn>
    <tableColumn id="16" xr3:uid="{260B9E77-E7B8-4743-911D-FBA62489A0AD}" name="CZE " dataDxfId="723"/>
    <tableColumn id="17" xr3:uid="{AA504452-D26E-6F46-9970-3EF14AE95C35}" name="Ondřej Klimeš " dataDxfId="722"/>
    <tableColumn id="18" xr3:uid="{2715D8C5-1DB7-5940-843E-0C0EFB724A84}" name=" Datum" dataDxfId="721"/>
    <tableColumn id="19" xr3:uid="{039368A0-7043-3340-A9C5-7674043C430F}" name="Pavel Zoula" dataDxfId="720"/>
    <tableColumn id="20" xr3:uid="{20077059-5666-CA46-B320-A139294246EE}" name="  Datum" dataDxfId="719"/>
    <tableColumn id="21" xr3:uid="{F22E96DB-CACD-E74C-ACF3-30FEAD9D1353}" name="Jakub Bláha" dataDxfId="718"/>
    <tableColumn id="22" xr3:uid="{2F1C2E5C-0D42-CD4A-B98F-BB38E7DC4DAF}" name=" Datum " dataDxfId="717"/>
    <tableColumn id="35" xr3:uid="{B4BF2726-8BB7-CB41-9D83-CEED3A016287}" name="Leoš  Kubát" dataDxfId="716"/>
    <tableColumn id="36" xr3:uid="{F73BE367-3C64-234C-9B64-6841A7859E85}" name=" Datum  " dataDxfId="715"/>
    <tableColumn id="33" xr3:uid="{3D841D05-5D29-9341-A573-060EE971638E}" name="1" dataDxfId="714"/>
    <tableColumn id="34" xr3:uid="{10709C0A-78F7-F440-9E24-20D0C2A05296}" name="  Datum  " dataDxfId="713"/>
    <tableColumn id="23" xr3:uid="{3EC25D8B-E14F-884B-9972-969DC39F6658}" name="4" dataDxfId="712"/>
    <tableColumn id="24" xr3:uid="{84C04725-927A-9240-9C90-8D2829D09C17}" name="  Datum " dataDxfId="711"/>
    <tableColumn id="25" xr3:uid="{D57FA955-CBBD-F746-972A-9319EF8A0F85}" name="7" dataDxfId="710"/>
    <tableColumn id="26" xr3:uid="{FA820B24-FDBC-EE43-AE8F-BF7D81A990F4}" name="  Datum   " dataDxfId="709"/>
    <tableColumn id="27" xr3:uid="{3C6043AF-DE0F-8742-8602-528FAA6DD338}" name="CZE," dataDxfId="708"/>
    <tableColumn id="28" xr3:uid="{BA85F5CF-FC6C-BC4F-B40E-26480A53C5CF}" name="   DATUM " dataDxfId="707"/>
    <tableColumn id="29" xr3:uid="{BDE21E11-E146-EC49-BAC4-DD64CC29C297}" name="EURO," dataDxfId="706">
      <calculatedColumnFormula>'03cash22'!AI3</calculatedColumnFormula>
    </tableColumn>
  </tableColumns>
  <tableStyleInfo name="TableStyleDark2" showFirstColumn="0" showLastColumn="0" showRowStripes="1" showColumnStripes="0"/>
</table>
</file>

<file path=xl/tables/table5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1" xr:uid="{2F5EFB7C-D770-EF4E-BC19-751E6B49B291}" name="Tabulka12153510111823262732342735444852" displayName="Tabulka12153510111823262732342735444852" ref="A2:AG42" totalsRowShown="0" headerRowDxfId="705" dataDxfId="704" tableBorderDxfId="703">
  <autoFilter ref="A2:AG42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6CF5945B-6381-1F45-B4AD-B894AFF01980}" name="Kartou" dataDxfId="702"/>
    <tableColumn id="2" xr3:uid="{ACEAB1BD-096E-9E46-9DCE-ED9C8AFA032D}" name="Datum" dataDxfId="701"/>
    <tableColumn id="3" xr3:uid="{9DA8C203-00AF-A744-AE08-23A9DDBF7FF9}" name="Hotově" dataDxfId="700"/>
    <tableColumn id="4" xr3:uid="{635FCA34-A720-5A40-81D2-CF518B4CF23D}" name="Kartou " dataDxfId="699"/>
    <tableColumn id="5" xr3:uid="{A641AF89-62DF-594A-9CB5-13C1803EF8CA}" name="Datum " dataDxfId="698"/>
    <tableColumn id="6" xr3:uid="{3AE522E7-961D-404B-A567-7B0CE52D6FF2}" name="Hotově " dataDxfId="697"/>
    <tableColumn id="7" xr3:uid="{737A5D80-415B-404A-BDA7-24EC0CC941B9}" name="Hotově  " dataDxfId="696"/>
    <tableColumn id="8" xr3:uid="{F3BF9EAF-676A-FF49-B583-6F5C80F10E7C}" name="Kartou  " dataDxfId="695"/>
    <tableColumn id="9" xr3:uid="{FAAA6C0A-2605-864B-8562-E4670F599E40}" name="Hotově   " dataDxfId="694"/>
    <tableColumn id="10" xr3:uid="{390B0CF8-02BD-FD45-9AC9-80C6074B320D}" name="Datum   " dataDxfId="693"/>
    <tableColumn id="11" xr3:uid="{0E1285AE-71CA-2142-A42A-5F7AACBBF0F8}" name="Kartou   " dataDxfId="692"/>
    <tableColumn id="12" xr3:uid="{27AA4F24-DCE6-B34B-903F-64F9FA5C2D06}" name="CZE" dataDxfId="691"/>
    <tableColumn id="13" xr3:uid="{D62B1DDA-C253-FB40-AE0A-4CCD9F2A1283}" name="POPIS" dataDxfId="690"/>
    <tableColumn id="14" xr3:uid="{1CA59F83-1D52-A942-980D-3B7F4C6280E3}" name="EURO" dataDxfId="689"/>
    <tableColumn id="15" xr3:uid="{72E19801-5EF4-2647-91EC-F170F02A19D8}" name="EURO " dataDxfId="688">
      <calculatedColumnFormula>AG44-AK6-AI3</calculatedColumnFormula>
    </tableColumn>
    <tableColumn id="16" xr3:uid="{7751F362-F002-334B-9F50-A934717A0372}" name="CZE " dataDxfId="687"/>
    <tableColumn id="17" xr3:uid="{85B3312D-D5C1-3743-B9EE-27BEE23CFB21}" name="Ondřej Klimeš " dataDxfId="686"/>
    <tableColumn id="18" xr3:uid="{CF4B71D6-628F-9B4B-8077-44634EA62A49}" name=" Datum" dataDxfId="685"/>
    <tableColumn id="19" xr3:uid="{D0A55197-41E9-D840-8FBE-CCC87573EC5F}" name="Pavel Zoula" dataDxfId="684"/>
    <tableColumn id="20" xr3:uid="{7D1A2049-CAAD-1446-8818-DF7ABAE9C0C5}" name="  Datum" dataDxfId="683"/>
    <tableColumn id="21" xr3:uid="{4D10CB37-5A70-3649-8DFE-FF4E4C57F1E3}" name="Jakub Bláha" dataDxfId="682"/>
    <tableColumn id="22" xr3:uid="{9A559DCA-09A6-4B47-9E55-C490D65955D2}" name=" Datum " dataDxfId="681"/>
    <tableColumn id="35" xr3:uid="{44B75E69-C92A-704A-923D-2ED659E448A3}" name="0" dataDxfId="680"/>
    <tableColumn id="36" xr3:uid="{6216907D-4548-AB4A-956E-86A87C09727F}" name=" Datum  " dataDxfId="679"/>
    <tableColumn id="33" xr3:uid="{F5AA9AD2-053E-074B-895C-129C69BDD90F}" name="1" dataDxfId="678"/>
    <tableColumn id="34" xr3:uid="{FA51D429-02EC-D344-B2B5-52C6FA2BB9DA}" name="  Datum  " dataDxfId="677"/>
    <tableColumn id="23" xr3:uid="{4B0AB634-3D2B-7B40-B553-581F9E9E25B2}" name="4" dataDxfId="676"/>
    <tableColumn id="24" xr3:uid="{37D2CBB8-B167-284B-9D65-C063AC1B6C97}" name="  Datum " dataDxfId="675"/>
    <tableColumn id="25" xr3:uid="{DAAB23B8-0FEB-414D-BC6D-119CCD71D7D4}" name="7" dataDxfId="674"/>
    <tableColumn id="26" xr3:uid="{27721ED5-9AB6-4741-B958-FFBAC5DF4E87}" name="  Datum   " dataDxfId="673"/>
    <tableColumn id="27" xr3:uid="{760479F0-5447-0C47-8A02-C1A672340B09}" name="CZE," dataDxfId="672"/>
    <tableColumn id="28" xr3:uid="{9177C5B7-8864-C943-A0F0-F2AB12A24F4D}" name="   DATUM " dataDxfId="671"/>
    <tableColumn id="29" xr3:uid="{D3E5DC2F-251D-584F-A6CC-10D4484F02ED}" name="EURO," dataDxfId="670">
      <calculatedColumnFormula>'03cash22'!AI3</calculatedColumnFormula>
    </tableColumn>
  </tableColumns>
  <tableStyleInfo name="TableStyleDark2" showFirstColumn="0" showLastColumn="0" showRowStripes="1" showColumnStripes="0"/>
</table>
</file>

<file path=xl/tables/table5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DFC17148-9446-EB48-8920-84DCD5C065C5}" name="Tabulka1215" displayName="Tabulka1215" ref="A2:AC33" totalsRowShown="0" headerRowDxfId="669" dataDxfId="667" headerRowBorderDxfId="668" tableBorderDxfId="666">
  <autoFilter ref="A2:AC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</autoFilter>
  <tableColumns count="29">
    <tableColumn id="1" xr3:uid="{47649FE1-BE5B-124D-A567-5A9218156090}" name="Kartou" dataDxfId="665"/>
    <tableColumn id="2" xr3:uid="{85AC01FE-6504-F64B-B559-77074C4865DF}" name="Datum" dataDxfId="664"/>
    <tableColumn id="3" xr3:uid="{740E5F7D-FBAA-F246-A3DB-503EBC03A17A}" name="Hotově" dataDxfId="663"/>
    <tableColumn id="4" xr3:uid="{DBDC7E2A-F3F9-9C41-94DD-E3A96C285F48}" name="Kartouu" dataDxfId="662"/>
    <tableColumn id="5" xr3:uid="{C71A88EA-80C9-9B42-9651-4EDE4330ECD6}" name="Datum." dataDxfId="661"/>
    <tableColumn id="6" xr3:uid="{72A8CAE7-34CA-5549-B153-A8299BEB4FD5}" name="Hotově " dataDxfId="660"/>
    <tableColumn id="7" xr3:uid="{AED89DF3-FE20-C841-A344-96A086A36D96}" name="Hotově 4" dataDxfId="659"/>
    <tableColumn id="8" xr3:uid="{02883DD6-2075-C84A-8BF9-B650ECF5381F}" name="Kartou5" dataDxfId="658"/>
    <tableColumn id="9" xr3:uid="{0AD636C6-BDB1-1247-9633-E80910D236DC}" name="Hotově 6" dataDxfId="657"/>
    <tableColumn id="10" xr3:uid="{3A1B537E-8FF0-0C44-B897-776CAE506017}" name="Datum7" dataDxfId="656"/>
    <tableColumn id="11" xr3:uid="{99E85B27-95AB-9C49-A75F-F607E6D0931C}" name="Kartou8" dataDxfId="655"/>
    <tableColumn id="12" xr3:uid="{A724678D-963D-C348-B2F8-337EE8A775CA}" name="CZE" dataDxfId="654"/>
    <tableColumn id="13" xr3:uid="{CD157AAE-A314-B94E-998B-A87255E452B1}" name="POPIS" dataDxfId="653"/>
    <tableColumn id="14" xr3:uid="{8526CBA4-0A7D-9548-B9F1-E5E67E39B825}" name="EURO" dataDxfId="652"/>
    <tableColumn id="15" xr3:uid="{16C5A845-AD16-864D-AFE1-116B33C052E7}" name="EURO " dataDxfId="651">
      <calculatedColumnFormula>AC35-AG6-AE3</calculatedColumnFormula>
    </tableColumn>
    <tableColumn id="16" xr3:uid="{5B9D9D67-9A03-134E-9EC8-C66D4657BA4A}" name="CZE2" dataDxfId="650"/>
    <tableColumn id="17" xr3:uid="{92969282-2C3C-944C-9937-F75498D1F267}" name="Max" dataDxfId="649"/>
    <tableColumn id="18" xr3:uid="{0F2653C9-2EAE-F44B-9125-B43A72C9D55B}" name="Datum10" dataDxfId="648"/>
    <tableColumn id="19" xr3:uid="{193CB615-9C96-2A41-A11B-99B9AEBB28F8}" name="Zoulič" dataDxfId="647"/>
    <tableColumn id="20" xr3:uid="{FAF2C130-E76F-0A4E-9EB9-7F382B71358C}" name="Datum11" dataDxfId="646"/>
    <tableColumn id="21" xr3:uid="{70081704-E62E-F14B-986D-C4EC8313C24A}" name="Milan" dataDxfId="645"/>
    <tableColumn id="22" xr3:uid="{925D07DF-574C-7C41-B291-C3FBD8E3D00D}" name="Datum12" dataDxfId="644"/>
    <tableColumn id="23" xr3:uid="{9832408F-5CE1-D644-BB29-63451065D426}" name="Tomáš Bogdan" dataDxfId="643"/>
    <tableColumn id="24" xr3:uid="{0BD07F11-4E57-8B42-8B51-5577BA3DE6D3}" name="Datum13" dataDxfId="642"/>
    <tableColumn id="25" xr3:uid="{CEC4E9AC-6061-7A47-8FA9-D1C346DAA198}" name="Jméno " dataDxfId="641"/>
    <tableColumn id="26" xr3:uid="{65A7619E-7FB8-C54A-A509-4D8FB2489DD7}" name="Datum14" dataDxfId="640"/>
    <tableColumn id="27" xr3:uid="{D4B79815-A793-4849-B01A-031E9601B327}" name="CZE15" dataDxfId="639"/>
    <tableColumn id="28" xr3:uid="{9FFBE502-E214-8040-B8C1-22294B28E3F6}" name="DATUM16" dataDxfId="638"/>
    <tableColumn id="29" xr3:uid="{FCB4F36C-11DF-344D-836B-10410C47876C}" name="EURO17" dataDxfId="637"/>
  </tableColumns>
  <tableStyleInfo name="ZáříHodiny-style" showFirstColumn="0" showLastColumn="0" showRowStripes="1" showColumnStripes="0"/>
</table>
</file>

<file path=xl/tables/table5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65B15F48-3A9E-CE42-A113-CB6C4551E995}" name="Tabulka41424" displayName="Tabulka41424" ref="A1:T35" totalsRowShown="0" headerRowDxfId="636" dataDxfId="634" headerRowBorderDxfId="635" tableBorderDxfId="633" totalsRowBorderDxfId="632">
  <autoFilter ref="A1:T35" xr:uid="{76D3A18D-D239-3D4A-867D-F6B5D46C7FBE}"/>
  <tableColumns count="20">
    <tableColumn id="1" xr3:uid="{BB1F86D2-522F-8944-B65A-E6FCFAB7395A}" name=" DATUM" dataDxfId="631"/>
    <tableColumn id="2" xr3:uid="{6E9D9260-FE08-0242-8E4B-8B9486AEDFFF}" name="DEN" dataDxfId="630">
      <calculatedColumnFormula>CHOOSE(WEEKDAY(U2),"Po","Út","St","Čt","Pá","So","Ne")</calculatedColumnFormula>
    </tableColumn>
    <tableColumn id="3" xr3:uid="{15B6D197-095A-3645-BB18-38BAB7B62912}" name="HOD" dataDxfId="629">
      <calculatedColumnFormula>Tabulka41424[[#This Row],[DO]]-Tabulka41424[[#This Row],[OD]]-TIME(0,30,0)</calculatedColumnFormula>
    </tableColumn>
    <tableColumn id="4" xr3:uid="{C40A8095-DFDB-F344-92F3-892690605C05}" name="CEL" dataDxfId="628">
      <calculatedColumnFormula>M2*C2</calculatedColumnFormula>
    </tableColumn>
    <tableColumn id="20" xr3:uid="{6EF42EC2-C389-5948-BCED-CF22671B813B}" name="OD" dataDxfId="627"/>
    <tableColumn id="5" xr3:uid="{1B3EE94B-8532-F14A-A2B3-C71CF1D4D4BE}" name="DO" dataDxfId="626"/>
    <tableColumn id="6" xr3:uid="{D5DE15BE-758F-4A4A-AC85-BD2AAB36A529}" name="MĚSTO" dataDxfId="625"/>
    <tableColumn id="7" xr3:uid="{D304FD4D-17C8-B240-A0E4-6FADF7B503B7}" name="FIRMA" dataDxfId="624"/>
    <tableColumn id="8" xr3:uid="{6CA078A5-8431-FD42-8691-1CFC7D3A5120}" name="STÁT" dataDxfId="623"/>
    <tableColumn id="9" xr3:uid="{FDBF7CF6-A36E-BE4B-B105-DC61A9ACAFC1}" name="SUPERVISOR" dataDxfId="622"/>
    <tableColumn id="10" xr3:uid="{D661CF32-2912-6244-936D-1ECF30B01FEF}" name="FIRMA2" dataDxfId="621"/>
    <tableColumn id="11" xr3:uid="{0170F827-989E-A54F-83EE-F3D752C12120}" name="AUTO" dataDxfId="620"/>
    <tableColumn id="12" xr3:uid="{3685384A-0BC2-1649-A72E-14EFF084A0B4}" name="OSOB" dataDxfId="619"/>
    <tableColumn id="13" xr3:uid="{1D0DD402-E4D6-7643-BC33-5464F037DEBF}" name="CELKEM HODIN" dataDxfId="618"/>
    <tableColumn id="14" xr3:uid="{74E6E665-0D86-CE4B-802C-5EDD00485879}" name="Výplatní páska" dataDxfId="617"/>
    <tableColumn id="15" xr3:uid="{BC22ADEA-47F8-FA48-9F56-C3C99B3A5513}" name="POSLÁNO NA ÚČET" dataDxfId="616"/>
    <tableColumn id="16" xr3:uid="{6A25E489-DE5F-6F40-A976-DF850B0DF4F3}" name="ÚČET " dataDxfId="615"/>
    <tableColumn id="17" xr3:uid="{48F25019-37FE-7844-AFDA-711DA2847539}" name="MĚSÍC" dataDxfId="614"/>
    <tableColumn id="18" xr3:uid="{A2BE372B-D6F1-3F41-A038-1A9DD4B2858D}" name="DATUM" dataDxfId="613"/>
    <tableColumn id="19" xr3:uid="{E4631896-A792-A048-B4CD-64E04AB84B61}" name="Mrazák" dataDxfId="612"/>
  </tableColumns>
  <tableStyleInfo name="TableStyleDark2" showFirstColumn="0" showLastColumn="0" showRowStripes="1" showColumnStripes="0"/>
</table>
</file>

<file path=xl/tables/table5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EF32A016-BA0E-B744-BABE-2D02615CE16D}" name="Tabulka4142567" displayName="Tabulka4142567" ref="A1:U35" totalsRowShown="0" headerRowDxfId="611" dataDxfId="609" headerRowBorderDxfId="610" tableBorderDxfId="608" totalsRowBorderDxfId="607">
  <autoFilter ref="A1:U35" xr:uid="{76D3A18D-D239-3D4A-867D-F6B5D46C7FBE}"/>
  <tableColumns count="21">
    <tableColumn id="1" xr3:uid="{BA38489B-4D35-6345-9A52-D6A4A96F165D}" name=" DATUM" dataDxfId="606"/>
    <tableColumn id="2" xr3:uid="{F172A743-32BB-0140-B7F6-1E998483EF23}" name="DEN" dataDxfId="605">
      <calculatedColumnFormula>CHOOSE(WEEKDAY(V2),"Po","Út","St","Čt","Pá","So","Ne")</calculatedColumnFormula>
    </tableColumn>
    <tableColumn id="3" xr3:uid="{9C6AFB3E-2575-0542-9938-E18AF9F19EF2}" name="HOD" dataDxfId="604">
      <calculatedColumnFormula>G2-E2-F2</calculatedColumnFormula>
    </tableColumn>
    <tableColumn id="4" xr3:uid="{F971FACF-C756-4D4D-AA8F-DED0C2819141}" name="CEL" dataDxfId="603">
      <calculatedColumnFormula>(N2*C2)*24</calculatedColumnFormula>
    </tableColumn>
    <tableColumn id="20" xr3:uid="{8221011D-4148-6147-A3D3-99393E526F87}" name="OD" dataDxfId="602"/>
    <tableColumn id="21" xr3:uid="{5D9833A7-BE18-624F-8E90-C4D581D0275D}" name="Obĕd" dataDxfId="601">
      <calculatedColumnFormula>TIME(0,30,0)</calculatedColumnFormula>
    </tableColumn>
    <tableColumn id="5" xr3:uid="{106C93CF-5B1F-E046-882C-8372D1224873}" name="DO" dataDxfId="600"/>
    <tableColumn id="6" xr3:uid="{71698D5A-EF3E-1F40-8A5E-D0417B2B0BE1}" name="MĚSTO" dataDxfId="599"/>
    <tableColumn id="7" xr3:uid="{9FD40BB1-493E-E143-8441-0D89BDA51016}" name="FIRMA" dataDxfId="598"/>
    <tableColumn id="8" xr3:uid="{4EB8DE9D-8E30-9244-9CC1-95FE59FD52A4}" name="STÁT" dataDxfId="597"/>
    <tableColumn id="9" xr3:uid="{668F1948-A0FC-2E4F-9ECC-04A63D17FB89}" name="SUPERVISOR" dataDxfId="596"/>
    <tableColumn id="10" xr3:uid="{6E200662-F75B-844A-B358-D39B5FD2646F}" name="FIRMA2" dataDxfId="595"/>
    <tableColumn id="11" xr3:uid="{B916BC29-AABA-3344-BFA0-B8E4EB0240A4}" name="AUTO" dataDxfId="594"/>
    <tableColumn id="12" xr3:uid="{7E995EEC-E140-F742-B03B-9BFAB0201441}" name="OSOB" dataDxfId="593"/>
    <tableColumn id="13" xr3:uid="{D86187BD-0BDC-E949-8BEB-C0BA372762E3}" name="CELKEM HODIN" dataDxfId="592"/>
    <tableColumn id="14" xr3:uid="{AE4C3633-53DF-6049-983C-6ED2839A1A42}" name="Výplatní páska" dataDxfId="591"/>
    <tableColumn id="15" xr3:uid="{B4E4DC59-F54E-C24A-88DD-C368DCEF8B37}" name="POSLÁNO NA ÚČET" dataDxfId="590"/>
    <tableColumn id="16" xr3:uid="{98C7DD75-B5FE-794E-BB29-920862C7FC79}" name="ÚČET " dataDxfId="589"/>
    <tableColumn id="17" xr3:uid="{0FC72987-2E5C-8542-8EC5-A6438B1516E4}" name="MĚSÍC" dataDxfId="588"/>
    <tableColumn id="18" xr3:uid="{6A784692-9351-7743-9087-F83A49B035EC}" name="DATUM" dataDxfId="587"/>
    <tableColumn id="19" xr3:uid="{E9F8EB07-E8FA-FE4A-A6F3-0AEFD0B526BC}" name="Mrazák" dataDxfId="586"/>
  </tableColumns>
  <tableStyleInfo name="TableStyleDark2" showFirstColumn="0" showLastColumn="0" showRowStripes="1" showColumnStripes="0"/>
</table>
</file>

<file path=xl/tables/table5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ABCACC9-AFC5-E147-8531-BAC02D6B1A6B}" name="Tabulka41425672" displayName="Tabulka41425672" ref="A1:U35" totalsRowShown="0" headerRowDxfId="585" dataDxfId="583" headerRowBorderDxfId="584" tableBorderDxfId="582" totalsRowBorderDxfId="581">
  <autoFilter ref="A1:U35" xr:uid="{76D3A18D-D239-3D4A-867D-F6B5D46C7FBE}"/>
  <tableColumns count="21">
    <tableColumn id="1" xr3:uid="{A4C0E9F3-4FC6-5040-8438-E6A0F81F1DC5}" name=" DATUM" dataDxfId="580"/>
    <tableColumn id="2" xr3:uid="{DB848230-4771-A24F-8088-34380AA15E9E}" name="DEN" dataDxfId="579">
      <calculatedColumnFormula>CHOOSE(WEEKDAY(V2),"Po","Út","St","Čt","Pá","So","Ne")</calculatedColumnFormula>
    </tableColumn>
    <tableColumn id="3" xr3:uid="{E2F662B3-13CD-4046-B250-62E0F3EBCEE3}" name="HOD" dataDxfId="578">
      <calculatedColumnFormula>G2-E2-F2</calculatedColumnFormula>
    </tableColumn>
    <tableColumn id="4" xr3:uid="{B25A5919-6D4E-974D-8AE9-B78BC621A62B}" name="CEL" dataDxfId="577">
      <calculatedColumnFormula>(N2*C2)*24</calculatedColumnFormula>
    </tableColumn>
    <tableColumn id="20" xr3:uid="{4AEAD412-48C4-F34B-B05A-59E94CFEBBBF}" name="OD" dataDxfId="576"/>
    <tableColumn id="21" xr3:uid="{2E2769DA-98EB-304B-8093-2C8A519D517C}" name="Obĕd" dataDxfId="575">
      <calculatedColumnFormula>TIME(0,30,0)</calculatedColumnFormula>
    </tableColumn>
    <tableColumn id="5" xr3:uid="{3DEBC99C-1D76-1543-B522-A31688827B46}" name="DO" dataDxfId="574"/>
    <tableColumn id="6" xr3:uid="{923B8E3E-29F5-9F4C-B128-9CCA7BCAE901}" name="MĚSTO" dataDxfId="573"/>
    <tableColumn id="7" xr3:uid="{7257F827-3DBD-FB40-B49D-688CA1BB90AD}" name="FIRMA" dataDxfId="572"/>
    <tableColumn id="8" xr3:uid="{F78DFDA9-DBFE-474B-996E-3D3941BC909C}" name="STÁT" dataDxfId="571"/>
    <tableColumn id="9" xr3:uid="{181A77E8-F189-F94D-BD4D-84E670990CB1}" name="SUPERVISOR" dataDxfId="570"/>
    <tableColumn id="10" xr3:uid="{170C7673-E2F4-234E-B427-0CC511DA5848}" name="FIRMA2" dataDxfId="569"/>
    <tableColumn id="11" xr3:uid="{1094E2C8-2723-C546-B629-ECC268CD0AE1}" name="AUTO" dataDxfId="568"/>
    <tableColumn id="12" xr3:uid="{92F4C2BA-5E98-2644-B371-70EEC570A5EC}" name="OSOB" dataDxfId="567"/>
    <tableColumn id="13" xr3:uid="{32D716AC-A7AC-2C4F-BE83-4E78A6270258}" name="CELKEM HODIN" dataDxfId="566"/>
    <tableColumn id="14" xr3:uid="{BB69CDB4-DB47-5344-8D2F-59A45E3213DE}" name="Výplatní páska" dataDxfId="565"/>
    <tableColumn id="15" xr3:uid="{412D57D0-90A4-D740-871B-DEA33213C91D}" name="POSLÁNO NA ÚČET" dataDxfId="564"/>
    <tableColumn id="16" xr3:uid="{BA88D1D4-481B-FD40-B150-372CA721E626}" name="ÚČET " dataDxfId="563"/>
    <tableColumn id="17" xr3:uid="{E9E7D535-5D80-EA4F-9488-F50299C28535}" name="MĚSÍC" dataDxfId="562"/>
    <tableColumn id="18" xr3:uid="{BEE71E01-8F37-FB4E-9702-11731CCB2F62}" name="DATUM" dataDxfId="561"/>
    <tableColumn id="19" xr3:uid="{44894EB6-87DB-CE4D-8016-CEB0AA690F27}" name="Mrazák" dataDxfId="560"/>
  </tableColumns>
  <tableStyleInfo name="TableStyleDark2" showFirstColumn="0" showLastColumn="0" showRowStripes="1" showColumnStripes="0"/>
</table>
</file>

<file path=xl/tables/table5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49788016-2BF1-AA44-A7B6-C2B4547557EF}" name="Tabulka414256729" displayName="Tabulka414256729" ref="A1:U35" totalsRowShown="0" headerRowDxfId="559" dataDxfId="557" headerRowBorderDxfId="558" tableBorderDxfId="556" totalsRowBorderDxfId="555">
  <autoFilter ref="A1:U35" xr:uid="{76D3A18D-D239-3D4A-867D-F6B5D46C7FBE}"/>
  <tableColumns count="21">
    <tableColumn id="1" xr3:uid="{38F9F78A-411F-E641-A188-B9A4AA9CD44D}" name=" DATUM" dataDxfId="554"/>
    <tableColumn id="2" xr3:uid="{475684C2-44EA-1B48-9BB9-C609E5BDC05B}" name="DEN" dataDxfId="553">
      <calculatedColumnFormula>CHOOSE(WEEKDAY(V2),"Po","Út","St","Čt","Pá","So","Ne")</calculatedColumnFormula>
    </tableColumn>
    <tableColumn id="3" xr3:uid="{ECC8C395-8D40-924E-A10A-D128470FB195}" name="HOD" dataDxfId="552">
      <calculatedColumnFormula>G2-E2-F2</calculatedColumnFormula>
    </tableColumn>
    <tableColumn id="4" xr3:uid="{B64E8566-F366-A343-A630-07D94E756626}" name="CEL" dataDxfId="551">
      <calculatedColumnFormula>(N2*C2)*24</calculatedColumnFormula>
    </tableColumn>
    <tableColumn id="20" xr3:uid="{F6EEB0DD-9AC1-4540-B6DF-BC6EB05EBCFF}" name="OD" dataDxfId="550"/>
    <tableColumn id="21" xr3:uid="{F104C02E-BA55-D54B-AC6C-50B49C8B1FA5}" name="Obĕd" dataDxfId="549">
      <calculatedColumnFormula>TIME(0,30,0)</calculatedColumnFormula>
    </tableColumn>
    <tableColumn id="5" xr3:uid="{D7D14256-E198-D54B-81CC-E58399605F0A}" name="DO" dataDxfId="548"/>
    <tableColumn id="6" xr3:uid="{2B1A633A-9214-6547-9917-BDCDBBC361A8}" name="MĚSTO" dataDxfId="547"/>
    <tableColumn id="7" xr3:uid="{0B801A88-A35E-4348-A140-239E0F337CCF}" name="FIRMA" dataDxfId="546"/>
    <tableColumn id="8" xr3:uid="{54520491-7495-2D42-B402-7F4BEC99DF90}" name="STÁT" dataDxfId="545"/>
    <tableColumn id="9" xr3:uid="{522CA9A9-E291-324C-9BD1-598CBF32E39E}" name="SUPERVISOR" dataDxfId="544"/>
    <tableColumn id="10" xr3:uid="{87419DA4-BA1C-834D-BC03-FE928DBAF161}" name="FIRMA2" dataDxfId="543"/>
    <tableColumn id="11" xr3:uid="{8259EE4E-4282-B940-886B-82B736388FF4}" name="AUTO" dataDxfId="542"/>
    <tableColumn id="12" xr3:uid="{B56BD857-2831-7F4F-988C-BDAFF366DC90}" name="OSOB" dataDxfId="541"/>
    <tableColumn id="13" xr3:uid="{97A49569-8652-644E-8BE7-8CEABB1C89CB}" name="CELKEM HODIN" dataDxfId="540"/>
    <tableColumn id="14" xr3:uid="{907720C0-50FA-E44A-9DAB-FED8FBCA659B}" name="VÝPLATNÍ PÁSKA " dataDxfId="539"/>
    <tableColumn id="15" xr3:uid="{FF8C34EA-44BB-4541-BF9D-5C6E415D6514}" name="POSLÁNO NA ÚČET" dataDxfId="538"/>
    <tableColumn id="16" xr3:uid="{5C2216FE-F8CF-5643-BF33-E50583850B3F}" name="ÚČET " dataDxfId="537"/>
    <tableColumn id="17" xr3:uid="{6B4D1397-32FC-DF42-AD81-53075D6AAFB9}" name="MĚSÍC" dataDxfId="536"/>
    <tableColumn id="18" xr3:uid="{B217F79C-2A9A-044F-9DDD-D9B6AF91D8AC}" name="DATUM" dataDxfId="535"/>
    <tableColumn id="19" xr3:uid="{78C85FC6-513D-3C4F-AF81-20EF0D02BF2D}" name="Mrazák" dataDxfId="534"/>
  </tableColumns>
  <tableStyleInfo name="TableStyleDark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0B6231BE-7952-5444-87EA-2B95EF0F1BD2}" name="Tabulka41425679624" displayName="Tabulka41425679624" ref="A1:U35" totalsRowShown="0" headerRowDxfId="1945" dataDxfId="1943" headerRowBorderDxfId="1944" tableBorderDxfId="1942" totalsRowBorderDxfId="1941">
  <autoFilter ref="A1:U35" xr:uid="{76D3A18D-D239-3D4A-867D-F6B5D46C7FBE}"/>
  <tableColumns count="21">
    <tableColumn id="1" xr3:uid="{385AD907-E5E7-FA4F-BE37-9FB145614961}" name=" DATUM" dataDxfId="1940"/>
    <tableColumn id="2" xr3:uid="{8E67E148-6051-724E-A2E8-78ABE3CF9205}" name="DEN" dataDxfId="1939">
      <calculatedColumnFormula>CHOOSE(WEEKDAY(V2),"Po","Út","St","Čt","Pá","So","Ne")</calculatedColumnFormula>
    </tableColumn>
    <tableColumn id="3" xr3:uid="{2AFEE6E3-6E6D-C042-9E0D-30C229AFCA2F}" name="HOD" dataDxfId="1938">
      <calculatedColumnFormula>G2-E2-F2</calculatedColumnFormula>
    </tableColumn>
    <tableColumn id="4" xr3:uid="{AF85E118-D0B0-4C46-82F2-08C8EA20FA52}" name="CEL" dataDxfId="1937">
      <calculatedColumnFormula>(N2*C2)*24</calculatedColumnFormula>
    </tableColumn>
    <tableColumn id="20" xr3:uid="{73A3B06B-4B8A-0148-9554-D9AC28EA6A86}" name="OD" dataDxfId="1936"/>
    <tableColumn id="21" xr3:uid="{68A81D0C-B25D-B04E-8D42-962FBE15BEEE}" name="Obĕd" dataDxfId="1935">
      <calculatedColumnFormula>TIME(0,30,0)</calculatedColumnFormula>
    </tableColumn>
    <tableColumn id="5" xr3:uid="{5DE2067D-6B6B-6B4E-A4CE-49F91F5422F0}" name="DO" dataDxfId="1934"/>
    <tableColumn id="6" xr3:uid="{3090D7E7-FAE7-424F-ABDB-81E06F2ADE28}" name="MĚSTO" dataDxfId="1933"/>
    <tableColumn id="7" xr3:uid="{013F89E5-6988-2E42-BB3A-782E10F1B841}" name="FIRMA" dataDxfId="1932"/>
    <tableColumn id="8" xr3:uid="{AF3BBEC2-5495-834A-8EB2-1D535541BC35}" name="STÁT" dataDxfId="1931"/>
    <tableColumn id="9" xr3:uid="{7F0AE1DF-B385-0341-9C43-5E2BB2D65C2D}" name="SUPERVISOR" dataDxfId="1930"/>
    <tableColumn id="10" xr3:uid="{EAA46C30-DD05-3440-A0E2-49D167BD136C}" name="FIRMA2" dataDxfId="1929"/>
    <tableColumn id="11" xr3:uid="{FF27F14B-6974-A046-A87B-448A0099B6A8}" name="AUTO" dataDxfId="1928"/>
    <tableColumn id="12" xr3:uid="{D00719B3-E5A2-9E44-B02B-CFBEC6626ACF}" name="OSOB" dataDxfId="1927"/>
    <tableColumn id="13" xr3:uid="{79AD33DF-D6B4-F94F-A9D5-BF7AFCDE63E9}" name="CELKEM HODIN" dataDxfId="1926"/>
    <tableColumn id="14" xr3:uid="{40D45FC1-57EF-5D45-ADBF-FFE25177B22A}" name="Výplatní páska" dataDxfId="1925"/>
    <tableColumn id="15" xr3:uid="{D75C0793-6855-FC49-87CF-422921D8EBF1}" name="POSLÁNO NA ÚČET" dataDxfId="1924"/>
    <tableColumn id="16" xr3:uid="{B7CE37D0-757A-DB42-A33F-722394834FDE}" name="ÚČET " dataDxfId="1923"/>
    <tableColumn id="17" xr3:uid="{60EBB069-11FE-CF44-A73C-7B48F525050F}" name="MĚSÍC" dataDxfId="1922"/>
    <tableColumn id="18" xr3:uid="{11D77616-57B5-F84F-A6FA-2F4A62106A05}" name="DATUM" dataDxfId="1921"/>
    <tableColumn id="19" xr3:uid="{8A31841E-E928-BA40-84A6-044E488E1045}" name="Mrazák" dataDxfId="1920"/>
  </tableColumns>
  <tableStyleInfo name="TableStyleDark2" showFirstColumn="0" showLastColumn="0" showRowStripes="1" showColumnStripes="0"/>
</table>
</file>

<file path=xl/tables/table6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2CFDA1C-910E-0143-BE7F-3FA336FA8EA6}" name="Tabulka4142567963" displayName="Tabulka4142567963" ref="A1:U35" totalsRowShown="0" headerRowDxfId="533" dataDxfId="531" headerRowBorderDxfId="532" tableBorderDxfId="530" totalsRowBorderDxfId="529">
  <autoFilter ref="A1:U35" xr:uid="{76D3A18D-D239-3D4A-867D-F6B5D46C7FBE}"/>
  <tableColumns count="21">
    <tableColumn id="1" xr3:uid="{2B5765F7-75DC-D24C-8D18-F6CE71051C70}" name=" DATUM" dataDxfId="528"/>
    <tableColumn id="2" xr3:uid="{96D27846-05AF-B940-9AE2-26A9018C7034}" name="DEN" dataDxfId="527">
      <calculatedColumnFormula>CHOOSE(WEEKDAY(V2),"Po","Út","St","Čt","Pá","So","Ne")</calculatedColumnFormula>
    </tableColumn>
    <tableColumn id="3" xr3:uid="{980BFC8A-BB0D-7E4A-ABEA-950B604FF5F0}" name="HOD" dataDxfId="526">
      <calculatedColumnFormula>G2-E2-F2</calculatedColumnFormula>
    </tableColumn>
    <tableColumn id="4" xr3:uid="{BFD7EBE4-01B3-2F4E-8FFC-DB761BBCCE28}" name="CEL" dataDxfId="525">
      <calculatedColumnFormula>(N2*C2)*24</calculatedColumnFormula>
    </tableColumn>
    <tableColumn id="20" xr3:uid="{D7BB6E94-9DCD-DD4C-B505-342EC57E2F59}" name="OD" dataDxfId="524"/>
    <tableColumn id="21" xr3:uid="{3963D888-91EF-0343-99B6-707A1BE95A29}" name="Obĕd" dataDxfId="523">
      <calculatedColumnFormula>TIME(0,30,0)</calculatedColumnFormula>
    </tableColumn>
    <tableColumn id="5" xr3:uid="{9656D421-400F-EB47-8E15-5B90D541070F}" name="DO" dataDxfId="522"/>
    <tableColumn id="6" xr3:uid="{63BF577B-796B-C244-8340-73D79651459E}" name="MĚSTO" dataDxfId="521"/>
    <tableColumn id="7" xr3:uid="{6BDC4474-7A31-D043-8566-D7E51362F6F0}" name="FIRMA" dataDxfId="520"/>
    <tableColumn id="8" xr3:uid="{C9C38BA0-1B35-F345-B2AF-6DB8D21292AB}" name="STÁT" dataDxfId="519"/>
    <tableColumn id="9" xr3:uid="{632226CF-ACDD-BA44-8531-8C834B19A1A5}" name="SUPERVISOR" dataDxfId="518"/>
    <tableColumn id="10" xr3:uid="{028F3741-4CEA-0645-99B8-8E28C413332C}" name="FIRMA2" dataDxfId="517"/>
    <tableColumn id="11" xr3:uid="{67A05453-FB13-5841-8A6B-26498E40A7F6}" name="AUTO" dataDxfId="516"/>
    <tableColumn id="12" xr3:uid="{0976A1F3-1A93-1F4D-AB7B-07A94E4F5E95}" name="OSOB" dataDxfId="515"/>
    <tableColumn id="13" xr3:uid="{57090EA6-69D1-F64B-B570-63A9F80A6138}" name="CELKEM HODIN" dataDxfId="514"/>
    <tableColumn id="14" xr3:uid="{4B070416-E2F4-0841-96D8-7342342E6E2E}" name="Výplatní páska" dataDxfId="513"/>
    <tableColumn id="15" xr3:uid="{742212BE-DE03-7244-9B3C-C8CD66BDE8D2}" name="POSLÁNO NA ÚČET" dataDxfId="512"/>
    <tableColumn id="16" xr3:uid="{FFC039FD-0C26-5C40-80B1-733A3B0322EC}" name="ÚČET " dataDxfId="511"/>
    <tableColumn id="17" xr3:uid="{F5485EE3-3AB4-0946-A805-4E77C608F2D4}" name="MĚSÍC" dataDxfId="510"/>
    <tableColumn id="18" xr3:uid="{C09DE0B9-9BF2-7D4E-A442-22DB6DA6A823}" name="DATUM" dataDxfId="509"/>
    <tableColumn id="19" xr3:uid="{542792FA-44C5-3241-9272-818B5B078122}" name="Mrazák" dataDxfId="508"/>
  </tableColumns>
  <tableStyleInfo name="TableStyleDark2" showFirstColumn="0" showLastColumn="0" showRowStripes="1" showColumnStripes="0"/>
</table>
</file>

<file path=xl/tables/table6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7466DC0B-D653-9142-A54B-50058AA42175}" name="Tabulka41425679616" displayName="Tabulka41425679616" ref="A1:U35" totalsRowShown="0" headerRowDxfId="507" dataDxfId="505" headerRowBorderDxfId="506" tableBorderDxfId="504" totalsRowBorderDxfId="503">
  <autoFilter ref="A1:U35" xr:uid="{76D3A18D-D239-3D4A-867D-F6B5D46C7FBE}"/>
  <tableColumns count="21">
    <tableColumn id="1" xr3:uid="{129D8AE9-FA3F-864E-A12C-C3C4742812BA}" name=" DATUM" dataDxfId="502"/>
    <tableColumn id="2" xr3:uid="{C9D1706B-C7B5-4341-96BC-92351ACA14B4}" name="DEN" dataDxfId="501">
      <calculatedColumnFormula>CHOOSE(WEEKDAY(V2),"Po","Út","St","Čt","Pá","So","Ne")</calculatedColumnFormula>
    </tableColumn>
    <tableColumn id="3" xr3:uid="{F24FEF88-337E-CD45-8D86-6AEAC649AA79}" name="HOD" dataDxfId="500">
      <calculatedColumnFormula>G2-E2-F2</calculatedColumnFormula>
    </tableColumn>
    <tableColumn id="4" xr3:uid="{0F46607F-8B9A-E745-A944-377F0102CF03}" name="CEL" dataDxfId="499">
      <calculatedColumnFormula>(N2*C2)*24</calculatedColumnFormula>
    </tableColumn>
    <tableColumn id="20" xr3:uid="{AEED6AB7-D27B-FE4D-AA2A-E9F31E5D22CF}" name="OD" dataDxfId="498"/>
    <tableColumn id="21" xr3:uid="{DA9B8703-7949-A749-A021-88FB3BA93BAA}" name="Obĕd" dataDxfId="497">
      <calculatedColumnFormula>TIME(0,30,0)</calculatedColumnFormula>
    </tableColumn>
    <tableColumn id="5" xr3:uid="{0B3424B4-617E-2543-BCD9-D2F52D918638}" name="DO" dataDxfId="496"/>
    <tableColumn id="6" xr3:uid="{6816C94F-FAD1-DB42-9509-096CAA17ECAA}" name="MĚSTO" dataDxfId="495"/>
    <tableColumn id="7" xr3:uid="{12BB8FA8-FA3E-A841-91E8-F856A88E5CE9}" name="FIRMA" dataDxfId="494"/>
    <tableColumn id="8" xr3:uid="{3F2BA5BD-C7E0-1F45-A0F2-C64E97797776}" name="STÁT" dataDxfId="493"/>
    <tableColumn id="9" xr3:uid="{7F08529C-F354-F348-BA11-63E445D037B9}" name="SUPERVISOR" dataDxfId="492"/>
    <tableColumn id="10" xr3:uid="{135D3DD1-930B-3548-B03C-8011AD5B6062}" name="FIRMA2" dataDxfId="491"/>
    <tableColumn id="11" xr3:uid="{ABA983B6-3F7E-8444-B30C-EDF80C7D1A83}" name="AUTO" dataDxfId="490"/>
    <tableColumn id="12" xr3:uid="{81D65179-C0AF-794D-9E09-5BC4F993B5AF}" name="OSOB" dataDxfId="489"/>
    <tableColumn id="13" xr3:uid="{85226761-4FDF-4C42-933A-EA3DC14E46CF}" name="CELKEM HODIN" dataDxfId="488"/>
    <tableColumn id="14" xr3:uid="{A0954828-EF4A-9E43-AC1E-64D7AF2AFB9E}" name="Výplatní páska" dataDxfId="487"/>
    <tableColumn id="15" xr3:uid="{F5B0BB74-CCF9-FA44-84C7-03673D5262D2}" name="POSLÁNO NA ÚČET" dataDxfId="486"/>
    <tableColumn id="16" xr3:uid="{95125FA8-B9EC-1A42-9C43-70B190C672D5}" name="ÚČET " dataDxfId="485"/>
    <tableColumn id="17" xr3:uid="{8CF56424-395B-5A4C-B803-AAA8CA50F5DB}" name="MĚSÍC" dataDxfId="484"/>
    <tableColumn id="18" xr3:uid="{C27BB7D2-5299-8D46-8043-2CC92D5D423E}" name="DATUM" dataDxfId="483"/>
    <tableColumn id="19" xr3:uid="{9D7EA0C8-2EC9-AE4E-9F48-C225A36D549D}" name="Mrazák" dataDxfId="482"/>
  </tableColumns>
  <tableStyleInfo name="TableStyleDark2" showFirstColumn="0" showLastColumn="0" showRowStripes="1" showColumnStripes="0"/>
</table>
</file>

<file path=xl/tables/table6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118A79FC-02BA-9E4A-8EC9-6501255FF58F}" name="Tabulka41425679617" displayName="Tabulka41425679617" ref="A1:U35" totalsRowShown="0" headerRowDxfId="481" dataDxfId="479" headerRowBorderDxfId="480" tableBorderDxfId="478" totalsRowBorderDxfId="477">
  <autoFilter ref="A1:U35" xr:uid="{76D3A18D-D239-3D4A-867D-F6B5D46C7FBE}"/>
  <tableColumns count="21">
    <tableColumn id="1" xr3:uid="{554555EE-BC21-A14D-A90E-3E0826E40E76}" name=" DATUM" dataDxfId="476"/>
    <tableColumn id="2" xr3:uid="{9864452C-7823-3042-91C4-0C9CF9D318CD}" name="DEN" dataDxfId="475">
      <calculatedColumnFormula>CHOOSE(WEEKDAY(V2),"Po","Út","St","Čt","Pá","So","Ne")</calculatedColumnFormula>
    </tableColumn>
    <tableColumn id="3" xr3:uid="{FA4D07C2-3386-C844-ADDE-255767364B16}" name="HOD" dataDxfId="474">
      <calculatedColumnFormula>G2-E2-F2</calculatedColumnFormula>
    </tableColumn>
    <tableColumn id="4" xr3:uid="{195E940B-25C4-F04F-90BD-FDB6775869DE}" name="CEL" dataDxfId="473">
      <calculatedColumnFormula>(N2*C2)*24</calculatedColumnFormula>
    </tableColumn>
    <tableColumn id="20" xr3:uid="{6A4102FC-5E1F-B847-8D7F-2E5C9CF9FF90}" name="OD" dataDxfId="472"/>
    <tableColumn id="21" xr3:uid="{CC5BB8BD-538C-7E42-83DA-E6CFB0CF3D4B}" name="Obĕd" dataDxfId="471">
      <calculatedColumnFormula>TIME(0,30,0)</calculatedColumnFormula>
    </tableColumn>
    <tableColumn id="5" xr3:uid="{23609D1B-637D-5949-BFC2-0B3047FACB94}" name="DO" dataDxfId="470"/>
    <tableColumn id="6" xr3:uid="{E1231AE0-DF6A-0F46-A3DF-1AD7DC538160}" name="MĚSTO" dataDxfId="469"/>
    <tableColumn id="7" xr3:uid="{9A6F2EE6-4FC8-F64B-AD3E-06668D8BDBB4}" name="FIRMA" dataDxfId="468"/>
    <tableColumn id="8" xr3:uid="{6EBAAA13-7D8C-C440-8B71-01AFAF3CC546}" name="STÁT" dataDxfId="467"/>
    <tableColumn id="9" xr3:uid="{A2792594-EC2E-7545-8E07-EFDB97EA6E72}" name="SUPERVISOR" dataDxfId="466"/>
    <tableColumn id="10" xr3:uid="{F5E9D969-74A4-F641-A5F2-966198CCF68D}" name="FIRMA2" dataDxfId="465"/>
    <tableColumn id="11" xr3:uid="{571380B3-BB04-B94A-9409-F3E1B866834C}" name="AUTO" dataDxfId="464"/>
    <tableColumn id="12" xr3:uid="{DA84A9C0-604D-BF47-900B-89FBEF545F97}" name="OSOB" dataDxfId="463"/>
    <tableColumn id="13" xr3:uid="{8288D1F4-471C-A443-BC95-235F37595331}" name="CELKEM HODIN" dataDxfId="462"/>
    <tableColumn id="14" xr3:uid="{58419181-5634-444B-A533-944EC22990C0}" name="Výplatní páska" dataDxfId="461"/>
    <tableColumn id="15" xr3:uid="{A876ED2E-694F-6546-94D6-3EA4BB4BE584}" name="POSLÁNO NA ÚČET" dataDxfId="460"/>
    <tableColumn id="16" xr3:uid="{51DC3933-663A-BA47-8806-B760631B98C9}" name="ÚČET " dataDxfId="459"/>
    <tableColumn id="17" xr3:uid="{CF9D36CC-0715-B241-8120-7D4C8DB748F5}" name="MĚSÍC" dataDxfId="458"/>
    <tableColumn id="18" xr3:uid="{4FAEBFAC-6B45-0847-B7FE-978792B11652}" name="DATUM" dataDxfId="457"/>
    <tableColumn id="19" xr3:uid="{4A3C250F-351F-0C49-94D7-613D4DF20891}" name="Mrazák" dataDxfId="456"/>
  </tableColumns>
  <tableStyleInfo name="TableStyleDark2" showFirstColumn="0" showLastColumn="0" showRowStripes="1" showColumnStripes="0"/>
</table>
</file>

<file path=xl/tables/table6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542EE8AA-CEB9-D547-9815-3BF7CE2CC393}" name="Tabulka41425679619" displayName="Tabulka41425679619" ref="A1:U35" totalsRowShown="0" headerRowDxfId="455" dataDxfId="453" headerRowBorderDxfId="454" tableBorderDxfId="452" totalsRowBorderDxfId="451">
  <autoFilter ref="A1:U35" xr:uid="{76D3A18D-D239-3D4A-867D-F6B5D46C7FBE}"/>
  <tableColumns count="21">
    <tableColumn id="1" xr3:uid="{A6A3A0BD-77B1-934A-9D32-0F0D1E2FB7A8}" name=" DATUM" dataDxfId="450"/>
    <tableColumn id="2" xr3:uid="{F1B1F34E-A597-DE45-AE49-02298A2ACD2D}" name="DEN" dataDxfId="449">
      <calculatedColumnFormula>CHOOSE(WEEKDAY(V2),"Po","Út","St","Čt","Pá","So","Ne")</calculatedColumnFormula>
    </tableColumn>
    <tableColumn id="3" xr3:uid="{94FCBE10-42C5-1341-A909-7D0664278ADE}" name="HOD" dataDxfId="448">
      <calculatedColumnFormula>G2-E2-F2</calculatedColumnFormula>
    </tableColumn>
    <tableColumn id="4" xr3:uid="{9B1CD10A-0A76-B04E-BAE7-BB1C82FE01EA}" name="CEL" dataDxfId="447">
      <calculatedColumnFormula>(N2*C2)*24</calculatedColumnFormula>
    </tableColumn>
    <tableColumn id="20" xr3:uid="{958DEB76-E5CC-B147-B76C-047C54D78C4D}" name="OD" dataDxfId="446"/>
    <tableColumn id="21" xr3:uid="{C663BD67-B96E-2C42-A597-27235708E703}" name="Obĕd" dataDxfId="445">
      <calculatedColumnFormula>TIME(1,0,0)</calculatedColumnFormula>
    </tableColumn>
    <tableColumn id="5" xr3:uid="{E7D696C3-5059-AA4B-A671-5630F74DBEBD}" name="DO" dataDxfId="444"/>
    <tableColumn id="6" xr3:uid="{01CEB257-0C03-3740-BCF0-7A6AA9E4DF83}" name="MĚSTO" dataDxfId="443"/>
    <tableColumn id="7" xr3:uid="{C9C25FB2-8F79-3043-8CA8-010A1990EA47}" name="FIRMA" dataDxfId="442"/>
    <tableColumn id="8" xr3:uid="{D4FCAB8E-46ED-944A-BB7F-38A945F1390B}" name="STÁT" dataDxfId="441"/>
    <tableColumn id="9" xr3:uid="{30E35CCA-7321-4047-9067-048007B7D2B5}" name="SUPERVISOR" dataDxfId="440"/>
    <tableColumn id="10" xr3:uid="{F30F27ED-FDAC-9B40-A1C8-61097F4D99AE}" name="FIRMA2" dataDxfId="439"/>
    <tableColumn id="11" xr3:uid="{B7778888-DAF3-1344-AC5E-58F37A329CF3}" name="AUTO" dataDxfId="438"/>
    <tableColumn id="12" xr3:uid="{F00A1209-01F4-544D-BE40-9891C079F59B}" name="OSOB" dataDxfId="437"/>
    <tableColumn id="13" xr3:uid="{07752987-430B-C445-B0F3-8FEA2B006BC6}" name="CELKEM HODIN" dataDxfId="436"/>
    <tableColumn id="14" xr3:uid="{6FDDF103-2A29-EA42-BD49-30E236800877}" name="Výplatní páska" dataDxfId="435"/>
    <tableColumn id="15" xr3:uid="{087559C8-7699-4A4E-8B48-117DC3EF84C5}" name="POSLÁNO NA ÚČET" dataDxfId="434"/>
    <tableColumn id="16" xr3:uid="{0B062D0A-A363-6744-8C60-8808F815E365}" name="ÚČET " dataDxfId="433"/>
    <tableColumn id="17" xr3:uid="{701E149B-76CC-564D-895D-990E5E04A2F3}" name="MĚSÍC" dataDxfId="432"/>
    <tableColumn id="18" xr3:uid="{20165C98-ED71-484F-AAE5-B68031D93FF2}" name="DATUM" dataDxfId="431"/>
    <tableColumn id="19" xr3:uid="{CD63D9DA-8E78-D546-94F9-372628876D43}" name="Mrazák" dataDxfId="430"/>
  </tableColumns>
  <tableStyleInfo name="TableStyleDark2" showFirstColumn="0" showLastColumn="0" showRowStripes="1" showColumnStripes="0"/>
</table>
</file>

<file path=xl/tables/table6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AF45B035-B23E-C640-9BEF-885CCE35A2A3}" name="Tabulka4142567961920" displayName="Tabulka4142567961920" ref="A1:U35" totalsRowShown="0" headerRowDxfId="429" dataDxfId="427" headerRowBorderDxfId="428" tableBorderDxfId="426" totalsRowBorderDxfId="425">
  <autoFilter ref="A1:U35" xr:uid="{76D3A18D-D239-3D4A-867D-F6B5D46C7FBE}"/>
  <tableColumns count="21">
    <tableColumn id="1" xr3:uid="{B82B1B16-6899-F84B-8586-E2F0F62FBA37}" name=" DATUM" dataDxfId="424"/>
    <tableColumn id="2" xr3:uid="{3162BCC2-EADB-4944-8DD4-6065F597FC3D}" name="DEN" dataDxfId="423">
      <calculatedColumnFormula>CHOOSE(WEEKDAY(V2),"Po","Út","St","Čt","Pá","So","Ne")</calculatedColumnFormula>
    </tableColumn>
    <tableColumn id="3" xr3:uid="{CE9CE098-7047-3246-838B-3BB8A3302162}" name="HOD" dataDxfId="422">
      <calculatedColumnFormula>G2-E2-F2</calculatedColumnFormula>
    </tableColumn>
    <tableColumn id="4" xr3:uid="{8B6DD0C8-8A0B-D347-8D30-F6F8B486DD81}" name="CEL" dataDxfId="421">
      <calculatedColumnFormula>(N2*C2)*24</calculatedColumnFormula>
    </tableColumn>
    <tableColumn id="20" xr3:uid="{85EFA7D1-C845-0E4A-80B1-546FD010B853}" name="OD" dataDxfId="420"/>
    <tableColumn id="21" xr3:uid="{7C904588-A6DC-B44D-BF73-7BC5A87B1DF9}" name="Obĕd" dataDxfId="419">
      <calculatedColumnFormula>TIME(1,0,0)</calculatedColumnFormula>
    </tableColumn>
    <tableColumn id="5" xr3:uid="{756E3E69-EDFE-0049-AFDD-2131DD169CCB}" name="DO" dataDxfId="418"/>
    <tableColumn id="6" xr3:uid="{876C4D80-906D-0F47-87F3-E598EF4421D3}" name="MĚSTO" dataDxfId="417"/>
    <tableColumn id="7" xr3:uid="{84DAAED3-D205-AC43-9D57-AF2EEDF2BD5C}" name="FIRMA" dataDxfId="416"/>
    <tableColumn id="8" xr3:uid="{7D2BC07C-1E89-8141-BF36-5267787720B3}" name="STÁT" dataDxfId="415"/>
    <tableColumn id="9" xr3:uid="{C963704E-F843-4F49-BE46-202D05AC77B1}" name="SUPERVISOR" dataDxfId="414"/>
    <tableColumn id="10" xr3:uid="{C3245867-1697-CD49-AA6E-7079027022CC}" name="FIRMA2" dataDxfId="413"/>
    <tableColumn id="11" xr3:uid="{F33B34AE-129F-0948-9113-00D16E3BB89F}" name="AUTO" dataDxfId="412"/>
    <tableColumn id="12" xr3:uid="{550E8D65-080D-CB4D-9CF5-CEF69F73007E}" name="OSOB" dataDxfId="411"/>
    <tableColumn id="13" xr3:uid="{BADD21FD-7E48-954F-84E3-8FFDD0FB2918}" name="CELKEM HODIN" dataDxfId="410"/>
    <tableColumn id="14" xr3:uid="{C6B45346-4414-BE43-8C87-D163450F7113}" name="Výplatní páska" dataDxfId="409"/>
    <tableColumn id="15" xr3:uid="{9343783C-7FFE-EA48-83CB-0D89C5464A27}" name="POSLÁNO NA ÚČET" dataDxfId="408"/>
    <tableColumn id="16" xr3:uid="{8B61223E-E387-5E40-AE96-4F0184BC6064}" name="ÚČET " dataDxfId="407"/>
    <tableColumn id="17" xr3:uid="{57866F63-DD9C-C243-9B30-BC2578E54BD5}" name="MĚSÍC" dataDxfId="406"/>
    <tableColumn id="18" xr3:uid="{E54CB76E-11A1-9348-9026-F3CAE54B2D64}" name="DATUM" dataDxfId="405"/>
    <tableColumn id="19" xr3:uid="{19EA7AE8-5AB7-B141-89A6-A80755185034}" name="Mrazák" dataDxfId="404"/>
  </tableColumns>
  <tableStyleInfo name="TableStyleDark2" showFirstColumn="0" showLastColumn="0" showRowStripes="1" showColumnStripes="0"/>
</table>
</file>

<file path=xl/tables/table6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58EA2749-24AD-6348-8EF3-9528DA206856}" name="Tabulka4142567962411" displayName="Tabulka4142567962411" ref="A1:U35" totalsRowShown="0" headerRowDxfId="403" dataDxfId="401" headerRowBorderDxfId="402" tableBorderDxfId="400" totalsRowBorderDxfId="399">
  <autoFilter ref="A1:U35" xr:uid="{76D3A18D-D239-3D4A-867D-F6B5D46C7FBE}"/>
  <tableColumns count="21">
    <tableColumn id="1" xr3:uid="{32E05667-B0E3-D84A-B03A-E4E5576D5358}" name=" DATUM" dataDxfId="398"/>
    <tableColumn id="2" xr3:uid="{AA9730D0-D38D-9D4E-A3FD-D680557044E6}" name="DEN" dataDxfId="397">
      <calculatedColumnFormula>CHOOSE(WEEKDAY(V2),"Po","Út","St","Čt","Pá","So","Ne")</calculatedColumnFormula>
    </tableColumn>
    <tableColumn id="3" xr3:uid="{18481E1E-8606-6649-B808-22F635175636}" name="HOD" dataDxfId="396">
      <calculatedColumnFormula>G2-E2-F2</calculatedColumnFormula>
    </tableColumn>
    <tableColumn id="4" xr3:uid="{FE8F1370-6975-1A46-99D1-00B4CB781B8F}" name="CEL" dataDxfId="395">
      <calculatedColumnFormula>(N2*C2)*24</calculatedColumnFormula>
    </tableColumn>
    <tableColumn id="20" xr3:uid="{70DDBFD3-AF53-554A-B6BE-2DF491A6E474}" name="OD" dataDxfId="394"/>
    <tableColumn id="21" xr3:uid="{A2F5F710-AFA0-424A-981B-BE8B04512C1D}" name="Obĕd" dataDxfId="393">
      <calculatedColumnFormula>TIME(0,30,0)</calculatedColumnFormula>
    </tableColumn>
    <tableColumn id="5" xr3:uid="{63C11177-72D4-2A41-9059-5F4E53D99BFD}" name="DO" dataDxfId="392"/>
    <tableColumn id="6" xr3:uid="{2F2FA177-C325-DE45-84A9-84AA50F514E6}" name="MĚSTO" dataDxfId="391"/>
    <tableColumn id="7" xr3:uid="{826DFA99-9ADC-F14A-8CD2-BCB6FC7F26E2}" name="FIRMA" dataDxfId="390"/>
    <tableColumn id="8" xr3:uid="{B12B61DF-E80D-D14D-B2FD-F85077806F75}" name="STÁT" dataDxfId="389"/>
    <tableColumn id="9" xr3:uid="{28BA884C-BCF6-5B47-91D8-59DAFD4AEB54}" name="SUPERVISOR" dataDxfId="388"/>
    <tableColumn id="10" xr3:uid="{99C3AC73-4136-4043-A073-A4E0AF8AE1A7}" name="FIRMA2" dataDxfId="387"/>
    <tableColumn id="11" xr3:uid="{F283FA37-8616-1A47-905E-7D70CB558308}" name="AUTO" dataDxfId="386"/>
    <tableColumn id="12" xr3:uid="{3ECD3D31-1EC7-BA42-BFAF-210886243B68}" name="OSOB" dataDxfId="385"/>
    <tableColumn id="13" xr3:uid="{3B906723-6389-6E41-A5D6-175BCC8099CB}" name="CELKEM HODIN" dataDxfId="384"/>
    <tableColumn id="14" xr3:uid="{6E9F58CF-9985-3046-A656-284B70A530A2}" name="Výplatní páska" dataDxfId="383"/>
    <tableColumn id="15" xr3:uid="{C2444EB2-CD4F-8A40-875F-C09E3C9C6CE7}" name="POSLÁNO NA ÚČET" dataDxfId="382"/>
    <tableColumn id="16" xr3:uid="{EDD849B5-F93A-294F-9B7E-00756A946959}" name="ÚČET " dataDxfId="381"/>
    <tableColumn id="17" xr3:uid="{FA0DEFFB-1077-6C4E-B780-33DEC62B651A}" name="MĚSÍC" dataDxfId="380"/>
    <tableColumn id="18" xr3:uid="{87967516-30F7-1440-83BC-4B6B1752FD96}" name="DATUM" dataDxfId="379"/>
    <tableColumn id="19" xr3:uid="{C82F8C3D-0D77-714B-BC5B-FD2400A07246}" name="Mrazák" dataDxfId="378"/>
  </tableColumns>
  <tableStyleInfo name="TableStyleDark2" showFirstColumn="0" showLastColumn="0" showRowStripes="1" showColumnStripes="0"/>
</table>
</file>

<file path=xl/tables/table6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BE2ED9E2-756B-614A-8142-CF9527AAEA01}" name="Tabulka12153510111823" displayName="Tabulka12153510111823" ref="A2:AG33" totalsRowShown="0" headerRowDxfId="377" dataDxfId="376" tableBorderDxfId="375">
  <autoFilter ref="A2:AG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C055714D-1472-2C44-A457-47C1B07420E0}" name="Kartou" dataDxfId="374"/>
    <tableColumn id="2" xr3:uid="{0953AA4A-0922-6B44-831A-A88E66EBA604}" name="Datum" dataDxfId="373"/>
    <tableColumn id="3" xr3:uid="{AC2CFEA6-E21D-7A48-B4EA-E459F8913251}" name="Hotově" dataDxfId="372"/>
    <tableColumn id="4" xr3:uid="{68ECFC6E-0EEE-534C-8EF7-3204D64B6DA7}" name="Kartou " dataDxfId="371"/>
    <tableColumn id="5" xr3:uid="{41B72F90-EBF5-9D4D-A380-BCF1281592FD}" name="Datum " dataDxfId="370"/>
    <tableColumn id="6" xr3:uid="{C733B007-6A4E-F84D-845D-1F0E728BA4F3}" name="Hotově " dataDxfId="369"/>
    <tableColumn id="7" xr3:uid="{9891AA46-C07B-394F-A619-2E78666BF478}" name="Hotově  " dataDxfId="368"/>
    <tableColumn id="8" xr3:uid="{211352EA-F1F6-4C46-B09A-2F4CF65BC428}" name="Kartou  " dataDxfId="367"/>
    <tableColumn id="9" xr3:uid="{65DA1EAF-A305-1149-AF7C-A1DFF8A7F461}" name="Hotově   " dataDxfId="366"/>
    <tableColumn id="10" xr3:uid="{7D47A8C2-D914-394A-AC98-5EC5805721F0}" name="Datum   " dataDxfId="365"/>
    <tableColumn id="11" xr3:uid="{41691DC5-D1CA-2A4B-8076-CEEF747BCB58}" name="Kartou   " dataDxfId="364"/>
    <tableColumn id="12" xr3:uid="{C7AEF903-4D04-6542-A57A-316EA486B7BB}" name="CZE" dataDxfId="363"/>
    <tableColumn id="13" xr3:uid="{D00CF902-A43D-9043-B6DC-B463D3DF494C}" name="POPIS" dataDxfId="362"/>
    <tableColumn id="14" xr3:uid="{F01E539D-6BBB-904E-B287-7433B9541541}" name="EURO" dataDxfId="361"/>
    <tableColumn id="15" xr3:uid="{D56F9F1C-5149-0948-9D78-F312479CC7B9}" name="EURO " dataDxfId="360">
      <calculatedColumnFormula>AG35-AK6-AI3</calculatedColumnFormula>
    </tableColumn>
    <tableColumn id="16" xr3:uid="{80228C4B-4291-304C-97AF-3F8491499B12}" name="CZE " dataDxfId="359"/>
    <tableColumn id="17" xr3:uid="{A5D4FDD3-6D17-F74B-9FC0-37263072C01D}" name="Max" dataDxfId="358"/>
    <tableColumn id="18" xr3:uid="{6B45F804-4B9F-AA48-BB6E-901B2C194884}" name=" Datum" dataDxfId="357"/>
    <tableColumn id="19" xr3:uid="{5A1576D2-85F7-624C-85CC-5F03F578CB3C}" name="Zoulič" dataDxfId="356"/>
    <tableColumn id="20" xr3:uid="{F13D7666-5630-4D45-BF62-4CEA7C175F5B}" name="  Datum" dataDxfId="355"/>
    <tableColumn id="21" xr3:uid="{6A4D058A-71AD-B240-AAE6-E7D0CC90FD9F}" name="Jiří Hubáček" dataDxfId="354"/>
    <tableColumn id="22" xr3:uid="{F883CA96-E806-954F-8F0C-9C13E63E4940}" name=" Datum " dataDxfId="353"/>
    <tableColumn id="35" xr3:uid="{8BC0981B-D679-EE45-81FA-6DC2E287CEF3}" name="Varmus" dataDxfId="352"/>
    <tableColumn id="36" xr3:uid="{198486BA-65E7-1B4D-BF43-B804E63D9569}" name=" Datum  " dataDxfId="351"/>
    <tableColumn id="33" xr3:uid="{B054E5E3-2205-CC46-A956-570122A87488}" name="Pepa" dataDxfId="350"/>
    <tableColumn id="34" xr3:uid="{CD25D1B1-8C51-D449-B51D-CB80A34F819B}" name="  Datum  " dataDxfId="349"/>
    <tableColumn id="23" xr3:uid="{C4D8FC4B-303F-174A-BA8F-5393F5C8450D}" name="Jiří Čermák" dataDxfId="348"/>
    <tableColumn id="24" xr3:uid="{85959702-A011-A446-A4E7-229B1E836B63}" name="  Datum " dataDxfId="347"/>
    <tableColumn id="25" xr3:uid="{0BF6D009-399F-834B-A3F7-DBBE2E2EB730}" name="Saša " dataDxfId="346"/>
    <tableColumn id="26" xr3:uid="{88440033-52DF-E34A-8D39-6357BAC67513}" name="  Datum   " dataDxfId="345"/>
    <tableColumn id="27" xr3:uid="{215A31E2-0111-0242-B32A-1C21EDEFA424}" name="CZE," dataDxfId="344"/>
    <tableColumn id="28" xr3:uid="{D3B9879E-F8F3-4742-ACA9-5EE2FF35E8E2}" name="   DATUM " dataDxfId="343"/>
    <tableColumn id="29" xr3:uid="{687EE051-E99C-9246-B480-709E72D37716}" name="EURO," dataDxfId="342"/>
  </tableColumns>
  <tableStyleInfo name="TableStyleDark2" showFirstColumn="0" showLastColumn="0" showRowStripes="1" showColumnStripes="0"/>
</table>
</file>

<file path=xl/tables/table6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2A19BA89-E9EE-054C-BE3B-56271A28AA33}" name="Tabulka121535101118" displayName="Tabulka121535101118" ref="A2:AG33" totalsRowShown="0" headerRowDxfId="341" dataDxfId="339" headerRowBorderDxfId="340" tableBorderDxfId="338">
  <autoFilter ref="A2:AG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76DECB1D-C1EC-574A-B873-C514F8564EB0}" name="Kartou" dataDxfId="337"/>
    <tableColumn id="2" xr3:uid="{E933EE42-CFCB-5548-A883-63EDF30C04CF}" name="Datum" dataDxfId="336"/>
    <tableColumn id="3" xr3:uid="{B9241906-4FBB-1949-A92A-A6F7725E8C07}" name="Hotově" dataDxfId="335"/>
    <tableColumn id="4" xr3:uid="{546FAD0E-3317-124B-B9F6-9DD24CE9C223}" name="Kartou " dataDxfId="334"/>
    <tableColumn id="5" xr3:uid="{0B6C4210-C7FE-7543-98B0-212478F754B3}" name="Datum " dataDxfId="333"/>
    <tableColumn id="6" xr3:uid="{CA08E2E3-99AB-CA46-88CA-BEF94B9A5F04}" name="Hotově " dataDxfId="332"/>
    <tableColumn id="7" xr3:uid="{94BD7C2B-2368-8847-AF64-A62B4A971F70}" name="Hotově  " dataDxfId="331"/>
    <tableColumn id="8" xr3:uid="{58A960B3-6EBB-BD45-8369-C2073FCF9D2F}" name="Kartou  " dataDxfId="330"/>
    <tableColumn id="9" xr3:uid="{FA499B81-8EF1-EA49-82B7-D9D56B833F0F}" name="Hotově   " dataDxfId="329"/>
    <tableColumn id="10" xr3:uid="{7C15526F-03C6-8A43-B652-A74B1D812B89}" name="Datum   " dataDxfId="328"/>
    <tableColumn id="11" xr3:uid="{BFCF1DC5-F740-DC41-B564-023CF9C70C67}" name="Kartou   " dataDxfId="327"/>
    <tableColumn id="12" xr3:uid="{6B0B2F21-C10D-6540-A3A0-56A0C55E96CB}" name="CZE" dataDxfId="326"/>
    <tableColumn id="13" xr3:uid="{4A9857B3-7C63-F344-860C-8A8DF25D344B}" name="POPIS" dataDxfId="325"/>
    <tableColumn id="14" xr3:uid="{4A79677B-932C-284D-9A49-05C54E1C2780}" name="EURO" dataDxfId="324"/>
    <tableColumn id="15" xr3:uid="{EF783223-AF8A-1146-8E0F-838286B76E36}" name="EURO " dataDxfId="323">
      <calculatedColumnFormula>AG35-AK6-AI3</calculatedColumnFormula>
    </tableColumn>
    <tableColumn id="16" xr3:uid="{276B378F-97DD-4445-BE2F-A869E2A59FD1}" name="CZE " dataDxfId="322"/>
    <tableColumn id="17" xr3:uid="{F0B067F9-A089-BA40-AA5A-C49AD965F4AC}" name="Max" dataDxfId="321"/>
    <tableColumn id="18" xr3:uid="{41805DAC-2443-5A4A-9263-52C182CE6A3D}" name="Datum..." dataDxfId="320"/>
    <tableColumn id="19" xr3:uid="{D88C6078-FB16-9C44-9A43-02BECDCD0B70}" name="Zoulič" dataDxfId="319"/>
    <tableColumn id="20" xr3:uid="{FC948387-BF33-7E4C-81E5-94E9765C2A75}" name="Datum.." dataDxfId="318"/>
    <tableColumn id="21" xr3:uid="{0239653F-C683-224F-B9A2-9EE9D16D4624}" name="Jambo" dataDxfId="317"/>
    <tableColumn id="22" xr3:uid="{26A76893-2A02-5C4C-8B7B-9E3897CEF47C}" name="Datum,2" dataDxfId="316"/>
    <tableColumn id="35" xr3:uid="{0FA7B1F8-49CF-A84C-BF48-3E846791C020}" name="Varmus" dataDxfId="315"/>
    <tableColumn id="36" xr3:uid="{46807D66-3F21-6545-8F4C-00EBEF47F1EC}" name="Datum1" dataDxfId="314"/>
    <tableColumn id="33" xr3:uid="{6A95F91B-588E-BE4F-BF07-CF7B54B2592D}" name="Z.Kovařík" dataDxfId="313"/>
    <tableColumn id="34" xr3:uid="{848D4E63-98A6-774B-ACEB-73D436605C0E}" name="Datum2" dataDxfId="312"/>
    <tableColumn id="23" xr3:uid="{9A758B37-0630-284D-8868-3602D0FCA57A}" name="M.Melicher" dataDxfId="311"/>
    <tableColumn id="24" xr3:uid="{6DBB4C03-10D2-C844-8B2A-8BB8B9311B18}" name="Datum3" dataDxfId="310"/>
    <tableColumn id="25" xr3:uid="{099B00EF-2A67-3F47-A2DF-242489187C20}" name="XXX3" dataDxfId="309"/>
    <tableColumn id="26" xr3:uid="{CAEBC131-0239-C74F-9CD8-95F14EAFE4E4}" name="Datum14" dataDxfId="308"/>
    <tableColumn id="27" xr3:uid="{A0A72D6C-D305-D045-9AD9-4C3B52A064A4}" name="CZE," dataDxfId="307"/>
    <tableColumn id="28" xr3:uid="{E1F5DB2F-C358-CA45-B032-8B37BBD72BE0}" name="DATUM,," dataDxfId="306"/>
    <tableColumn id="29" xr3:uid="{5B93914F-2BD9-7846-9025-BCE7125769F8}" name="EURO," dataDxfId="305"/>
  </tableColumns>
  <tableStyleInfo name="TableStyleDark2" showFirstColumn="0" showLastColumn="0" showRowStripes="1" showColumnStripes="0"/>
</table>
</file>

<file path=xl/tables/table6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4E03F20B-B2F7-C848-847F-F5BD4ACC6BC2}" name="Tabulka12153510111213" displayName="Tabulka12153510111213" ref="A2:AG33" totalsRowShown="0" headerRowDxfId="304" dataDxfId="302" headerRowBorderDxfId="303" tableBorderDxfId="301">
  <autoFilter ref="A2:AG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2FB1DC97-F5FC-F842-9A87-EDB2F8B967C2}" name="Kartou" dataDxfId="300"/>
    <tableColumn id="2" xr3:uid="{95200D0F-F90A-314B-A342-12CD13C10A49}" name="Datum" dataDxfId="299"/>
    <tableColumn id="3" xr3:uid="{6FF1E373-9AA2-7B48-B09D-F790AC5A49B8}" name="Hotově" dataDxfId="298"/>
    <tableColumn id="4" xr3:uid="{002EE831-C45F-C248-975B-EA9A77B375F7}" name="Kartou " dataDxfId="297"/>
    <tableColumn id="5" xr3:uid="{08921C6B-34DF-0543-BD8C-FA62CA788E4B}" name="Datum " dataDxfId="296"/>
    <tableColumn id="6" xr3:uid="{8D33DD73-22D3-5F41-B29E-5D43E24307D0}" name="Hotově " dataDxfId="295"/>
    <tableColumn id="7" xr3:uid="{4B143013-F164-514C-BBF8-5A0A47C74337}" name="Hotově  " dataDxfId="294"/>
    <tableColumn id="8" xr3:uid="{548851E9-D7A6-8F4F-975E-D1D7715E0AD3}" name="Kartou  " dataDxfId="293"/>
    <tableColumn id="9" xr3:uid="{CA1CAC67-4916-3843-BFF1-E1916CC27204}" name="Hotově   " dataDxfId="292"/>
    <tableColumn id="10" xr3:uid="{F8108B5C-5811-794E-A135-05C803D5B311}" name="Datum   " dataDxfId="291"/>
    <tableColumn id="11" xr3:uid="{D7A1A611-0856-874F-A062-BF0D915467EC}" name="Kartou   " dataDxfId="290"/>
    <tableColumn id="12" xr3:uid="{25249A70-FDE5-FF41-A2F6-5D5925540F6A}" name="CZE" dataDxfId="289"/>
    <tableColumn id="13" xr3:uid="{A97BA96A-6BC4-8042-AAC8-5A136B6F009F}" name="POPIS" dataDxfId="288"/>
    <tableColumn id="14" xr3:uid="{3FAEA0A6-5D94-4646-B8AB-407C8C04FB84}" name="EURO" dataDxfId="287"/>
    <tableColumn id="15" xr3:uid="{2606114A-8DFC-4A44-AA59-51CB157C24E6}" name="EURO " dataDxfId="286">
      <calculatedColumnFormula>AG35-AK6-AI3</calculatedColumnFormula>
    </tableColumn>
    <tableColumn id="16" xr3:uid="{141843E6-06F3-9444-AF8D-B0A67C363E72}" name="CZE " dataDxfId="285"/>
    <tableColumn id="17" xr3:uid="{FCE83A80-2581-C94B-9F04-B9F4037E115E}" name="Max" dataDxfId="284"/>
    <tableColumn id="18" xr3:uid="{068DE78D-C4F3-CE41-B939-1E46C24EC990}" name="Datum..." dataDxfId="283"/>
    <tableColumn id="19" xr3:uid="{384B0AA4-3F92-124E-AA5D-73F1721C8B1C}" name="Zoulič" dataDxfId="282"/>
    <tableColumn id="20" xr3:uid="{C9D03E83-B2AC-CF4F-843B-D4EA48DA3CFD}" name="Datum.." dataDxfId="281"/>
    <tableColumn id="21" xr3:uid="{3DE36F9D-33D2-144B-96E2-89EA8A25D684}" name="Jambo" dataDxfId="280"/>
    <tableColumn id="22" xr3:uid="{9F19E676-09FF-644B-99C3-71A286C4B971}" name="Datum,2" dataDxfId="279"/>
    <tableColumn id="35" xr3:uid="{12D45949-C796-B54C-8B15-78ADAADE228E}" name="Šimon" dataDxfId="278"/>
    <tableColumn id="36" xr3:uid="{B23E8329-78DB-0A48-AEA6-C44D97B3A6FB}" name="Datum1" dataDxfId="277"/>
    <tableColumn id="33" xr3:uid="{007E0E9E-5629-AE4E-ADA2-997863FED86F}" name="Z.Kovařík" dataDxfId="276"/>
    <tableColumn id="34" xr3:uid="{47DB0E36-B5C3-9544-8948-95F4E56AFE9A}" name="Datum2" dataDxfId="275"/>
    <tableColumn id="23" xr3:uid="{2B913B32-1BB2-824B-8D9E-0F99B361E3BA}" name="M.Melicher" dataDxfId="274"/>
    <tableColumn id="24" xr3:uid="{DF194E59-26D8-4040-BF33-C54DBF729A7B}" name="Datum3" dataDxfId="273"/>
    <tableColumn id="25" xr3:uid="{CFC650DC-716F-FA4B-A167-E2041FA5BC58}" name="XXX3" dataDxfId="272"/>
    <tableColumn id="26" xr3:uid="{63F15259-5EF1-184C-BA4B-01DF28793305}" name="Datum14" dataDxfId="271"/>
    <tableColumn id="27" xr3:uid="{1330CCCA-8FE2-EF47-8423-D2C8E92F24EF}" name="CZE," dataDxfId="270"/>
    <tableColumn id="28" xr3:uid="{CE664745-1D57-F648-86B5-57ECD98BBDC8}" name="DATUM,," dataDxfId="269"/>
    <tableColumn id="29" xr3:uid="{02976891-FF1A-E446-B561-E1424C380D64}" name="EURO," dataDxfId="268"/>
  </tableColumns>
  <tableStyleInfo name="TableStyleDark2" showFirstColumn="0" showLastColumn="0" showRowStripes="1" showColumnStripes="0"/>
</table>
</file>

<file path=xl/tables/table6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4E667EEF-C383-564C-8664-D300A44DCC77}" name="Tabulka121535101112" displayName="Tabulka121535101112" ref="A2:AG33" totalsRowShown="0" headerRowDxfId="267" dataDxfId="265" headerRowBorderDxfId="266" tableBorderDxfId="264">
  <autoFilter ref="A2:AG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56439C66-130F-624A-A1E5-A836CB22B868}" name="Kartou" dataDxfId="263"/>
    <tableColumn id="2" xr3:uid="{8BED5D04-9FC0-FF44-8619-4138A1E40B2C}" name="Datum" dataDxfId="262"/>
    <tableColumn id="3" xr3:uid="{2BDDD0BD-426D-9A45-A527-E8C3B9C96847}" name="Hotově" dataDxfId="261"/>
    <tableColumn id="4" xr3:uid="{7D035055-039E-E448-B82C-50284AED1F0E}" name="Kartou " dataDxfId="260"/>
    <tableColumn id="5" xr3:uid="{63868992-B359-074F-9DA9-D3FD4F38B446}" name="Datum " dataDxfId="259"/>
    <tableColumn id="6" xr3:uid="{16CA70B2-8684-6245-AC7D-38F34C6A7025}" name="Hotově " dataDxfId="258"/>
    <tableColumn id="7" xr3:uid="{E33B17A4-2878-9743-8CC6-4726F68796F7}" name="Hotově  " dataDxfId="257"/>
    <tableColumn id="8" xr3:uid="{9445AC7E-A365-254A-9F62-3A3FFFF5FC10}" name="Kartou  " dataDxfId="256"/>
    <tableColumn id="9" xr3:uid="{B6CBA78F-E7BE-824E-A38E-936FAE086B16}" name="Hotově   " dataDxfId="255"/>
    <tableColumn id="10" xr3:uid="{E73B5B53-DE66-1444-9CE5-B3484F13FCB1}" name="Datum   " dataDxfId="254"/>
    <tableColumn id="11" xr3:uid="{B27E311E-0A0F-BE43-BBB2-43C55F283BBB}" name="Kartou   " dataDxfId="253"/>
    <tableColumn id="12" xr3:uid="{338AB0B1-499F-4A4F-8AF2-96334E1A73A0}" name="CZE" dataDxfId="252"/>
    <tableColumn id="13" xr3:uid="{F46258DD-3D24-C24F-B66C-3D5030308BAE}" name="POPIS" dataDxfId="251"/>
    <tableColumn id="14" xr3:uid="{0F572CE8-EB83-D440-B010-5E6638BBBE33}" name="EURO" dataDxfId="250"/>
    <tableColumn id="15" xr3:uid="{BB99F7E5-B648-E04F-BA77-0A28BB2E0E72}" name="EURO " dataDxfId="249">
      <calculatedColumnFormula>AG35-AK6-AI3</calculatedColumnFormula>
    </tableColumn>
    <tableColumn id="16" xr3:uid="{3E0F25A4-605A-E94F-B10C-46CA3DFA024A}" name="CZE " dataDxfId="248"/>
    <tableColumn id="17" xr3:uid="{3DABFED1-CCDF-3B44-89D6-31BEC53BEECD}" name="Max" dataDxfId="247"/>
    <tableColumn id="18" xr3:uid="{D396DE13-EB8C-254A-8D03-9819D516E970}" name="Datum..." dataDxfId="246"/>
    <tableColumn id="19" xr3:uid="{D3674893-C073-2E4F-8CDF-6E0FC707F659}" name="Zoulič" dataDxfId="245"/>
    <tableColumn id="20" xr3:uid="{1CCDB8E8-13AC-0F42-B0C5-11106E1235DA}" name="Datum.." dataDxfId="244"/>
    <tableColumn id="21" xr3:uid="{8897C403-CAE3-FC41-9191-CA211A1BEE70}" name="Jambo" dataDxfId="243"/>
    <tableColumn id="22" xr3:uid="{D16B1DC1-474B-C046-99CB-F29C37EBEFD1}" name="Datum,2" dataDxfId="242"/>
    <tableColumn id="35" xr3:uid="{17BE8FCE-066D-0C45-97D8-484E4FD712F1}" name="Varmus" dataDxfId="241"/>
    <tableColumn id="36" xr3:uid="{EE21A163-1712-1C48-BE71-E267D5F28ED5}" name="Datum1" dataDxfId="240"/>
    <tableColumn id="33" xr3:uid="{528CD5C7-48E8-DA46-9340-BB327DCEF26F}" name="XXX" dataDxfId="239"/>
    <tableColumn id="34" xr3:uid="{964060E9-C978-9545-B5D6-0F445B910D4B}" name="Datum2" dataDxfId="238"/>
    <tableColumn id="23" xr3:uid="{C3A08776-6B07-B94F-A87F-A3A01D92F4E0}" name="XXX2" dataDxfId="237"/>
    <tableColumn id="24" xr3:uid="{C091A813-81AF-EA46-8D0D-0BE158A1A13E}" name="Datum3" dataDxfId="236"/>
    <tableColumn id="25" xr3:uid="{23859120-3FBE-E540-940C-4080ED6938B1}" name="XXX3" dataDxfId="235"/>
    <tableColumn id="26" xr3:uid="{363CF15B-EE8C-CE4A-880D-8AF445E7D730}" name="Datum14" dataDxfId="234"/>
    <tableColumn id="27" xr3:uid="{5DD5C913-62C2-C541-B22A-97335C62268E}" name="CZE," dataDxfId="233"/>
    <tableColumn id="28" xr3:uid="{BA21D6DD-3B89-D648-BFC1-98A55CC66A54}" name="DATUM,," dataDxfId="232"/>
    <tableColumn id="29" xr3:uid="{7A61A6A6-8E1F-014A-81C8-7C5408FE823C}" name="EURO," dataDxfId="231"/>
  </tableColumns>
  <tableStyleInfo name="TableStyleDark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0040514B-A212-BF44-AD71-E817F86E9C5F}" name="Tabulka4142567962425" displayName="Tabulka4142567962425" ref="A1:U35" totalsRowShown="0" headerRowDxfId="1919" dataDxfId="1917" headerRowBorderDxfId="1918" tableBorderDxfId="1916" totalsRowBorderDxfId="1915">
  <autoFilter ref="A1:U35" xr:uid="{76D3A18D-D239-3D4A-867D-F6B5D46C7FBE}"/>
  <tableColumns count="21">
    <tableColumn id="1" xr3:uid="{40097C25-EA54-D643-A012-037B6D618728}" name=" DATUM" dataDxfId="1914"/>
    <tableColumn id="2" xr3:uid="{D97BEE0B-CC1D-E843-8BEA-B8488FB4B1E9}" name="DEN" dataDxfId="1913">
      <calculatedColumnFormula>CHOOSE(WEEKDAY(V2),"Po","Út","St","Čt","Pá","So","Ne")</calculatedColumnFormula>
    </tableColumn>
    <tableColumn id="3" xr3:uid="{C3F420B9-C419-3C4B-B4A1-1ADCD7CC2E71}" name="HOD" dataDxfId="1912">
      <calculatedColumnFormula>G2-E2-F2</calculatedColumnFormula>
    </tableColumn>
    <tableColumn id="4" xr3:uid="{2AC80FFF-D828-1E49-A8D6-A7706DF7AFDB}" name="CEL" dataDxfId="1911">
      <calculatedColumnFormula>(N2*C2)*24</calculatedColumnFormula>
    </tableColumn>
    <tableColumn id="20" xr3:uid="{7DA3897A-D496-094E-BA0F-C763FC43A9E8}" name="OD" dataDxfId="1910"/>
    <tableColumn id="21" xr3:uid="{70296A29-534F-E045-8E89-C2488EF31201}" name="Obĕd" dataDxfId="1909">
      <calculatedColumnFormula>TIME(0,30,0)</calculatedColumnFormula>
    </tableColumn>
    <tableColumn id="5" xr3:uid="{80914581-8346-E146-9445-57F3C42324C4}" name="DO" dataDxfId="1908"/>
    <tableColumn id="6" xr3:uid="{DA4658AA-D9AD-3E41-A38A-96DE412FF621}" name="MĚSTO" dataDxfId="1907"/>
    <tableColumn id="7" xr3:uid="{1B2B3E53-CA3D-4C4D-A245-4DA2540FB072}" name="FIRMA" dataDxfId="1906"/>
    <tableColumn id="8" xr3:uid="{39EBB33F-C4D2-AB4B-A751-E755A44275C5}" name="STÁT" dataDxfId="1905"/>
    <tableColumn id="9" xr3:uid="{796A1731-751C-074F-9EA9-1C7D9E067E8C}" name="SUPERVISOR" dataDxfId="1904"/>
    <tableColumn id="10" xr3:uid="{FA5CF563-5DBE-C943-B128-4C638D01EBC4}" name="FIRMA2" dataDxfId="1903"/>
    <tableColumn id="11" xr3:uid="{B8CA3B53-CCF7-DF46-B262-0C29170348F0}" name="AUTO" dataDxfId="1902"/>
    <tableColumn id="12" xr3:uid="{64FB75A5-97EB-0447-9768-DF217A3E483A}" name="OSOB" dataDxfId="1901"/>
    <tableColumn id="13" xr3:uid="{F21E920D-D745-0547-ACA1-26D80E227363}" name="CELKEM HODIN" dataDxfId="1900"/>
    <tableColumn id="14" xr3:uid="{CBFB3F3B-B478-E843-8623-FD413DDA6D4D}" name="Výplatní páska" dataDxfId="1899"/>
    <tableColumn id="15" xr3:uid="{3E86F3BD-0D2F-FF4A-9589-E5665DD44241}" name="POSLÁNO NA ÚČET" dataDxfId="1898"/>
    <tableColumn id="16" xr3:uid="{343500DD-0A1A-5242-A179-940E03040B0A}" name="ÚČET " dataDxfId="1897"/>
    <tableColumn id="17" xr3:uid="{4C29F8AF-68C5-2D44-A84E-886711B42B52}" name="MĚSÍC" dataDxfId="1896"/>
    <tableColumn id="18" xr3:uid="{7AAB25F2-003A-8941-93BB-4F47114CFB77}" name="DATUM" dataDxfId="1895"/>
    <tableColumn id="19" xr3:uid="{97B8A4A8-ABFF-7249-9C13-C16A16C2EF2D}" name="Mrazák" dataDxfId="1894"/>
  </tableColumns>
  <tableStyleInfo name="TableStyleDark2" showFirstColumn="0" showLastColumn="0" showRowStripes="1" showColumnStripes="0"/>
</table>
</file>

<file path=xl/tables/table7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D8F08D43-8253-1241-AF61-8AE25B8A1F8E}" name="Tabulka12153510" displayName="Tabulka12153510" ref="A2:AG33" totalsRowShown="0" headerRowDxfId="230" dataDxfId="228" headerRowBorderDxfId="229" tableBorderDxfId="227">
  <autoFilter ref="A2:AG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594414D3-DDB5-F249-A94C-07313659A00A}" name="Kartou" dataDxfId="226"/>
    <tableColumn id="2" xr3:uid="{95159701-C875-A944-8DBE-CDAAEA88BB48}" name="Datum" dataDxfId="225"/>
    <tableColumn id="3" xr3:uid="{585AF3CF-D9F6-674D-88A8-FAD03BAA1FB9}" name="Hotově" dataDxfId="224"/>
    <tableColumn id="4" xr3:uid="{C20193D0-B74A-A74C-9262-C3F3D2D374EC}" name="Kartouu" dataDxfId="223"/>
    <tableColumn id="5" xr3:uid="{53EA81BC-11E5-344C-8D45-711398A7F8E8}" name="Datum." dataDxfId="222"/>
    <tableColumn id="6" xr3:uid="{209A2850-44AE-CA43-B73D-971D58A5FF07}" name="Hotově " dataDxfId="221"/>
    <tableColumn id="7" xr3:uid="{6ABB5F3B-27C4-6C43-B89D-2CCB7A009F15}" name="Hotově 4" dataDxfId="220"/>
    <tableColumn id="8" xr3:uid="{13F3DECF-1C3E-0F49-9933-CEF65307640B}" name="Kartou5" dataDxfId="219"/>
    <tableColumn id="9" xr3:uid="{F39075F1-F9A0-7148-8B97-B38AB11225D3}" name="Hotově 6" dataDxfId="218"/>
    <tableColumn id="10" xr3:uid="{4CA99D17-D6EF-514A-9C16-5B126A30DC9A}" name="Datum7" dataDxfId="217"/>
    <tableColumn id="11" xr3:uid="{FDC6E92B-1208-8342-8C5E-2787B5C84DB1}" name="Kartou8" dataDxfId="216"/>
    <tableColumn id="12" xr3:uid="{F78750AA-E478-4644-B197-899DE769788C}" name="CZE" dataDxfId="215"/>
    <tableColumn id="13" xr3:uid="{D624320E-C0D9-D145-9554-6555A85F954B}" name="POPIS" dataDxfId="214"/>
    <tableColumn id="14" xr3:uid="{C7CFBCAF-3BED-7D4A-BCD9-3A7E88BC6914}" name="EURO" dataDxfId="213"/>
    <tableColumn id="15" xr3:uid="{AB95823D-8A64-8B4B-9546-98A2E2ECE7AD}" name="EURO " dataDxfId="212">
      <calculatedColumnFormula>AG35-AK6-AI3</calculatedColumnFormula>
    </tableColumn>
    <tableColumn id="16" xr3:uid="{9F90F2F9-2246-F543-8490-A0B5A1ABCAD2}" name="CZE2" dataDxfId="211"/>
    <tableColumn id="17" xr3:uid="{69F6BBBD-B6A3-3841-95C2-61C5A288463C}" name="Max" dataDxfId="210"/>
    <tableColumn id="18" xr3:uid="{8AE61E05-FB44-6841-85B1-775C3EFF379D}" name="Datum..." dataDxfId="209"/>
    <tableColumn id="19" xr3:uid="{7B92B768-E50C-994C-A9AC-51DC4BDCCDCA}" name="Zoulič" dataDxfId="208"/>
    <tableColumn id="20" xr3:uid="{A48FEF78-2132-424E-B9FC-D11CD81CEAC8}" name="Datum.." dataDxfId="207"/>
    <tableColumn id="21" xr3:uid="{200706A1-659D-B948-916D-68CE5B0E2A81}" name="Jambo" dataDxfId="206"/>
    <tableColumn id="22" xr3:uid="{49B2FB14-EF31-2149-B5AA-762B231F713C}" name="Datum," dataDxfId="205"/>
    <tableColumn id="35" xr3:uid="{F188428C-2890-F244-B655-E1ECB2F03729}" name="Varmus" dataDxfId="204"/>
    <tableColumn id="36" xr3:uid="{06A32BC6-3881-1747-9FAB-A99D34D2CC8D}" name="Datum1" dataDxfId="203"/>
    <tableColumn id="33" xr3:uid="{00AEF710-6AF5-A649-99A0-0DB012617BE2}" name="XXX" dataDxfId="202"/>
    <tableColumn id="34" xr3:uid="{C60D5C86-FD58-E641-9D8F-84B199A249D3}" name="Datum2" dataDxfId="201"/>
    <tableColumn id="23" xr3:uid="{D0007FE8-E459-A949-826C-2238911CB720}" name="XXX2" dataDxfId="200"/>
    <tableColumn id="24" xr3:uid="{89FC1832-A4A9-5140-ACB7-7EA05599BA06}" name="Datum3" dataDxfId="199"/>
    <tableColumn id="25" xr3:uid="{375CAFC1-982E-8549-ADC7-A545A0410309}" name="XXX3" dataDxfId="198"/>
    <tableColumn id="26" xr3:uid="{F3AE548D-A28D-8F41-B300-6CA1B22F3AE0}" name="Datum14" dataDxfId="197"/>
    <tableColumn id="27" xr3:uid="{74DE950E-6203-B544-BBBE-2E9E53817A06}" name="CZE15" dataDxfId="196"/>
    <tableColumn id="28" xr3:uid="{0D8B12A4-E307-3446-AA06-9DE6C375A21E}" name="DATUM16" dataDxfId="195"/>
    <tableColumn id="29" xr3:uid="{AE030032-89D4-0548-8143-F866AF7D44B1}" name="EURO17" dataDxfId="194"/>
  </tableColumns>
  <tableStyleInfo name="TableStyleDark2" showFirstColumn="0" showLastColumn="0" showRowStripes="1" showColumnStripes="0"/>
</table>
</file>

<file path=xl/tables/table7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CF6D74D-EEC1-4C45-B251-7BACB04F3D1A}" name="Tabulka121535" displayName="Tabulka121535" ref="A2:AG33" totalsRowShown="0" headerRowDxfId="193" dataDxfId="191" headerRowBorderDxfId="192" tableBorderDxfId="190">
  <autoFilter ref="A2:AG33" xr:uid="{F9A97F0A-B9A5-C941-9B99-D7E59714562B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  <filterColumn colId="14" hiddenButton="1"/>
    <filterColumn colId="15" hiddenButton="1"/>
    <filterColumn colId="16" hiddenButton="1"/>
    <filterColumn colId="17" hiddenButton="1"/>
    <filterColumn colId="18" hiddenButton="1"/>
    <filterColumn colId="19" hiddenButton="1"/>
    <filterColumn colId="20" hiddenButton="1"/>
    <filterColumn colId="21" hiddenButton="1"/>
    <filterColumn colId="22" hiddenButton="1"/>
    <filterColumn colId="23" hiddenButton="1"/>
    <filterColumn colId="24" hiddenButton="1"/>
    <filterColumn colId="25" hiddenButton="1"/>
    <filterColumn colId="26" hiddenButton="1"/>
    <filterColumn colId="27" hiddenButton="1"/>
    <filterColumn colId="28" hiddenButton="1"/>
    <filterColumn colId="29" hiddenButton="1"/>
    <filterColumn colId="30" hiddenButton="1"/>
    <filterColumn colId="31" hiddenButton="1"/>
    <filterColumn colId="32" hiddenButton="1"/>
  </autoFilter>
  <tableColumns count="33">
    <tableColumn id="1" xr3:uid="{ABB57C6A-38D3-2444-878B-82B0A61EE497}" name="Kartou" dataDxfId="189"/>
    <tableColumn id="2" xr3:uid="{7AE19DD7-6BF6-8543-AF3A-74385F13BBF5}" name="Datum" dataDxfId="188"/>
    <tableColumn id="3" xr3:uid="{9E5FB42A-6D00-5845-8050-D6974C48507F}" name="Hotově" dataDxfId="187"/>
    <tableColumn id="4" xr3:uid="{5C9B1FF4-313C-E14C-9BB0-1DF0B2BB225D}" name="Kartouu" dataDxfId="186"/>
    <tableColumn id="5" xr3:uid="{715CD94D-060E-7E43-8D2C-20CDDCEBD0E7}" name="Datum." dataDxfId="185"/>
    <tableColumn id="6" xr3:uid="{7696A56D-02A7-AD4B-8B89-23A9F294B43D}" name="Hotově " dataDxfId="184"/>
    <tableColumn id="7" xr3:uid="{4042FF75-7022-824E-91B2-8A8CEE17AEEA}" name="Hotově 4" dataDxfId="183"/>
    <tableColumn id="8" xr3:uid="{0D5D988D-5249-6A46-9EE8-8C38954B3456}" name="Kartou5" dataDxfId="182"/>
    <tableColumn id="9" xr3:uid="{B6A4B8EE-B26E-494B-B1A2-241192D38910}" name="Hotově 6" dataDxfId="181"/>
    <tableColumn id="10" xr3:uid="{9611EBA8-B8BD-9040-846B-C47B9D399B9D}" name="Datum7" dataDxfId="180"/>
    <tableColumn id="11" xr3:uid="{3E5171EF-3846-3340-850E-D45F47D7910D}" name="Kartou8" dataDxfId="179"/>
    <tableColumn id="12" xr3:uid="{D08ACC99-AFD1-784B-BDCB-493B8A744C8A}" name="CZE" dataDxfId="178"/>
    <tableColumn id="13" xr3:uid="{D92B6E4B-76D1-CE4E-BD7E-363BF76F213A}" name="POPIS" dataDxfId="177"/>
    <tableColumn id="14" xr3:uid="{06EEA8D7-85F0-2243-9E0B-B3E3939D95CA}" name="EURO" dataDxfId="176"/>
    <tableColumn id="15" xr3:uid="{8FDF3472-395E-3C45-8D4A-22665E7B1038}" name="EURO " dataDxfId="175">
      <calculatedColumnFormula>AG35-AK6-AI3</calculatedColumnFormula>
    </tableColumn>
    <tableColumn id="16" xr3:uid="{997C2875-C879-8441-A281-2BD87BA5419F}" name="CZE2" dataDxfId="174"/>
    <tableColumn id="17" xr3:uid="{B49FCE09-7E3F-8942-B436-069EF36B7E0A}" name="Max" dataDxfId="173"/>
    <tableColumn id="18" xr3:uid="{8775EDDB-63DC-2A4B-9F84-DC6CEE812DE6}" name="Datum..." dataDxfId="172"/>
    <tableColumn id="19" xr3:uid="{6FED627E-5CEC-6B4E-AF25-A1F9E9250CC1}" name="Zoulič" dataDxfId="171"/>
    <tableColumn id="20" xr3:uid="{CBD44E3C-C857-8D41-B9D9-166D0D3A2EE9}" name="Datum.." dataDxfId="170"/>
    <tableColumn id="21" xr3:uid="{A580AE6C-B0DE-1C42-A450-ECCE5C061A02}" name="Jambo" dataDxfId="169"/>
    <tableColumn id="22" xr3:uid="{8525B8E7-5BA7-9943-8399-5BA40C3642D4}" name="Datum," dataDxfId="168"/>
    <tableColumn id="35" xr3:uid="{2824B417-6DBE-5C4B-9FC4-6ECF7A05791A}" name="Plos" dataDxfId="167"/>
    <tableColumn id="36" xr3:uid="{C6EB770D-F7B8-7442-85DD-0CC672AC7FC8}" name="Datum1" dataDxfId="166"/>
    <tableColumn id="33" xr3:uid="{AFC18A94-4CC3-CB45-A5DA-4D04E35CE95F}" name="Volák" dataDxfId="165"/>
    <tableColumn id="34" xr3:uid="{18E829D9-31E6-674E-9634-9F806FFEA72C}" name="Datum2" dataDxfId="164"/>
    <tableColumn id="23" xr3:uid="{08052E16-28BC-0D4C-9411-B8A745194C35}" name="Bogdan" dataDxfId="163"/>
    <tableColumn id="24" xr3:uid="{CB9A9A2C-A3F9-664A-A74C-ADC0CAEEE8A8}" name="Datum3" dataDxfId="162"/>
    <tableColumn id="25" xr3:uid="{39962452-64CA-114E-B781-3AE95F2ED725}" name="Varmus" dataDxfId="161"/>
    <tableColumn id="26" xr3:uid="{781D86AE-6FAB-8F4D-A932-CF71DC9F65CB}" name="Datum14" dataDxfId="160"/>
    <tableColumn id="27" xr3:uid="{94B8FA92-3917-674D-8B2C-E555337E92BE}" name="CZE15" dataDxfId="159"/>
    <tableColumn id="28" xr3:uid="{70C6BF17-6F0B-164E-891F-7650C0BE447C}" name="DATUM16" dataDxfId="158"/>
    <tableColumn id="29" xr3:uid="{E4023725-64FF-A14D-9D29-76DA4EBC0F03}" name="EURO17" dataDxfId="157"/>
  </tableColumns>
  <tableStyleInfo name="TableStyleDark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A8B453AB-41CF-DB45-88E6-232ECD0461B4}" name="Tabulka414256796242522" displayName="Tabulka414256796242522" ref="A1:U35" totalsRowShown="0" headerRowDxfId="1893" dataDxfId="1891" headerRowBorderDxfId="1892" tableBorderDxfId="1890" totalsRowBorderDxfId="1889">
  <autoFilter ref="A1:U35" xr:uid="{76D3A18D-D239-3D4A-867D-F6B5D46C7FBE}"/>
  <tableColumns count="21">
    <tableColumn id="1" xr3:uid="{D94417E2-1442-1948-9C84-C75C5A750B13}" name=" DATUM" dataDxfId="1888"/>
    <tableColumn id="2" xr3:uid="{C732F515-AADB-7D45-8D98-E3B68D61609E}" name="DEN" dataDxfId="1887">
      <calculatedColumnFormula>CHOOSE(WEEKDAY(V2),"Po","Út","St","Čt","Pá","So","Ne")</calculatedColumnFormula>
    </tableColumn>
    <tableColumn id="3" xr3:uid="{37C99639-B8FA-F34E-B135-E6BB4FF60D97}" name="HOD" dataDxfId="1886">
      <calculatedColumnFormula>G2-E2-F2</calculatedColumnFormula>
    </tableColumn>
    <tableColumn id="4" xr3:uid="{96752168-70B9-0F46-8C1D-16D117E4F5F8}" name="CEL" dataDxfId="1885">
      <calculatedColumnFormula>(N2*C2)*24</calculatedColumnFormula>
    </tableColumn>
    <tableColumn id="20" xr3:uid="{E0DCBA49-5014-9E47-B8D8-03FE2B161AD4}" name="OD" dataDxfId="1884"/>
    <tableColumn id="21" xr3:uid="{5D2ED045-664F-CC4B-BC86-FF63675EB2EF}" name="Obĕd" dataDxfId="1883">
      <calculatedColumnFormula>TIME(0,30,0)</calculatedColumnFormula>
    </tableColumn>
    <tableColumn id="5" xr3:uid="{F4899B66-6761-724D-B289-8AA50F5D018F}" name="DO" dataDxfId="1882"/>
    <tableColumn id="6" xr3:uid="{19A4E59E-B78F-4B4E-A5AA-EF90B3DBA82E}" name="MĚSTO" dataDxfId="1881"/>
    <tableColumn id="7" xr3:uid="{98E003A2-64BD-9E4B-AD37-F8E2907144AE}" name="FIRMA" dataDxfId="1880"/>
    <tableColumn id="8" xr3:uid="{21B79B6F-21FE-9742-9384-4D5D585BD074}" name="STÁT" dataDxfId="1879"/>
    <tableColumn id="9" xr3:uid="{418C9F4A-73AA-8E44-9E9E-CB9A8214C754}" name="SUPERVISOR" dataDxfId="1878"/>
    <tableColumn id="10" xr3:uid="{7020C6E2-170D-FA40-AA7E-254794F5E222}" name="FIRMA2" dataDxfId="1877"/>
    <tableColumn id="11" xr3:uid="{E4F8665E-04D3-994D-88D9-95E3E6DA5ACF}" name="AUTO" dataDxfId="1876"/>
    <tableColumn id="12" xr3:uid="{E6FFBE96-6C58-5C44-861F-161F2275E0FB}" name="OSOB" dataDxfId="1875"/>
    <tableColumn id="13" xr3:uid="{1061653E-4821-A64A-A182-6A1A987477CD}" name="CELKEM HODIN" dataDxfId="1874"/>
    <tableColumn id="14" xr3:uid="{530520DF-AE6D-8045-B28A-FED895288005}" name="Výplatní páska" dataDxfId="1873"/>
    <tableColumn id="15" xr3:uid="{461A4B3F-55A2-8D4A-AB1E-828E369C2970}" name="POSLÁNO NA ÚČET" dataDxfId="1872"/>
    <tableColumn id="16" xr3:uid="{3BA4EE14-1E57-7D4F-8899-556B87B3452C}" name="ÚČET " dataDxfId="1871"/>
    <tableColumn id="17" xr3:uid="{E7F8346C-EB1E-9E46-A0D4-5A93C82D35E5}" name="MĚSÍC" dataDxfId="1870"/>
    <tableColumn id="18" xr3:uid="{26E12D9D-F3FB-5041-85F1-2251323F0338}" name="DATUM" dataDxfId="1869"/>
    <tableColumn id="19" xr3:uid="{8D6053E2-A605-9B44-BE96-C23F99BFB40F}" name="Mrazák" dataDxfId="1868"/>
  </tableColumns>
  <tableStyleInfo name="TableStyleDark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5025EBF9-EF08-D54A-9948-D1C41F65C6E4}" name="Tabulka41425679624252229" displayName="Tabulka41425679624252229" ref="A1:U35" totalsRowShown="0" headerRowDxfId="1867" dataDxfId="1865" headerRowBorderDxfId="1866" tableBorderDxfId="1864" totalsRowBorderDxfId="1863">
  <autoFilter ref="A1:U35" xr:uid="{76D3A18D-D239-3D4A-867D-F6B5D46C7FBE}"/>
  <tableColumns count="21">
    <tableColumn id="1" xr3:uid="{AA830004-FCE9-9449-9A29-DDC3FFB3711A}" name=" DATUM" dataDxfId="1862"/>
    <tableColumn id="2" xr3:uid="{C72C9A81-3826-BE4F-8F06-DEDC8FC0BAED}" name="DEN" dataDxfId="1861">
      <calculatedColumnFormula>CHOOSE(WEEKDAY(V2),"Po","Út","St","Čt","Pá","So","Ne")</calculatedColumnFormula>
    </tableColumn>
    <tableColumn id="3" xr3:uid="{DA7CD08F-2AF8-C343-ACCD-C8D52E863527}" name="HOD" dataDxfId="1860">
      <calculatedColumnFormula>G2-E2-F2</calculatedColumnFormula>
    </tableColumn>
    <tableColumn id="4" xr3:uid="{A3789B29-4C17-C741-ADC3-721F1721A976}" name="CEL" dataDxfId="1859">
      <calculatedColumnFormula>(N2*C2)*24</calculatedColumnFormula>
    </tableColumn>
    <tableColumn id="20" xr3:uid="{E36BAF4E-FCB7-1745-B3AC-B6A05421DAB2}" name="OD" dataDxfId="1858"/>
    <tableColumn id="21" xr3:uid="{317125C5-D425-B64B-ACB0-8556F8E16F98}" name="Obĕd" dataDxfId="1857">
      <calculatedColumnFormula>TIME(0,30,0)</calculatedColumnFormula>
    </tableColumn>
    <tableColumn id="5" xr3:uid="{C00E1EA3-4BFC-6141-97D3-66824EBC90CA}" name="DO" dataDxfId="1856"/>
    <tableColumn id="6" xr3:uid="{B0D140E1-8714-4842-A250-61CBB3A6C22A}" name="MĚSTO" dataDxfId="1855"/>
    <tableColumn id="7" xr3:uid="{BA4F4007-A3FC-BF48-BA0A-582207C2F2EC}" name="FIRMA" dataDxfId="1854"/>
    <tableColumn id="8" xr3:uid="{BB1AF58F-F2A1-7B44-9A49-E3387B2D0798}" name="STÁT" dataDxfId="1853"/>
    <tableColumn id="9" xr3:uid="{90E0F027-417F-A042-9166-FA03707FF3CB}" name="SUPERVISOR" dataDxfId="1852"/>
    <tableColumn id="10" xr3:uid="{89911336-6146-E34F-997E-E8B9921BE03F}" name="FIRMA2" dataDxfId="1851"/>
    <tableColumn id="11" xr3:uid="{72EC2F64-B3B2-2C4C-8193-99EFFEE58416}" name="AUTO" dataDxfId="1850"/>
    <tableColumn id="12" xr3:uid="{ECD55D44-E8C7-4240-B92C-24E8A62EB7BA}" name="OSOB" dataDxfId="1849"/>
    <tableColumn id="13" xr3:uid="{0EC78DD7-217C-1B44-8E9B-EFE665FEBA39}" name="CELKEM HODIN" dataDxfId="1848"/>
    <tableColumn id="14" xr3:uid="{6BF76169-748F-4E48-B013-A2BE556739F9}" name="Výplatní páska" dataDxfId="1847"/>
    <tableColumn id="15" xr3:uid="{20FC70CC-FC75-3D48-81B6-3D1B6F6353F4}" name="POSLÁNO NA ÚČET" dataDxfId="1846"/>
    <tableColumn id="16" xr3:uid="{BF401079-1B80-F64A-9510-C1BA56E0F7DA}" name="ÚČET " dataDxfId="1845"/>
    <tableColumn id="17" xr3:uid="{8D7CF7FE-7727-BB42-BDB6-0240ED376740}" name="MĚSÍC" dataDxfId="1844"/>
    <tableColumn id="18" xr3:uid="{FEDB5429-06DD-7548-8F96-76135BEF3BA5}" name="DATUM" dataDxfId="1843"/>
    <tableColumn id="19" xr3:uid="{FC9F0F5E-7390-8148-809C-98E16AEBFFC7}" name="Mrazák" dataDxfId="1842"/>
  </tableColumns>
  <tableStyleInfo name="TableStyleDark2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R5" dT="2023-11-17T23:29:27.89" personId="{D31DA892-7C5B-8048-8BF5-94CD455657C9}" id="{59ABD6A5-280C-724A-9003-16A8DD6ABCB0}">
    <text>Oběd, Bageta, Tabák</text>
  </threadedComment>
  <threadedComment ref="R6" dT="2023-11-17T23:30:05.20" personId="{D31DA892-7C5B-8048-8BF5-94CD455657C9}" id="{E186AE0C-4086-3D43-9D3D-73BF4E8C2585}">
    <text xml:space="preserve">17.11.2023
</text>
  </threadedComment>
  <threadedComment ref="R7" dT="2023-11-17T23:30:37.19" personId="{D31DA892-7C5B-8048-8BF5-94CD455657C9}" id="{28689E3F-7BC7-FB46-92F9-BB9C267F9AF1}">
    <text xml:space="preserve">Cestou od Kuby 17.11.2023
</text>
  </threadedComment>
</ThreadedComment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maps.app.goo.gl/F9SL7j7DNH58EiMf9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7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8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9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10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1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3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4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4.xml"/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5.xml"/><Relationship Id="rId1" Type="http://schemas.openxmlformats.org/officeDocument/2006/relationships/drawing" Target="../drawings/drawing16.xm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6.xml"/><Relationship Id="rId1" Type="http://schemas.openxmlformats.org/officeDocument/2006/relationships/drawing" Target="../drawings/drawing17.xml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7.xml"/><Relationship Id="rId1" Type="http://schemas.openxmlformats.org/officeDocument/2006/relationships/drawing" Target="../drawings/drawing18.xm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8.xml"/><Relationship Id="rId1" Type="http://schemas.openxmlformats.org/officeDocument/2006/relationships/drawing" Target="../drawings/drawing19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9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0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1.xml"/><Relationship Id="rId1" Type="http://schemas.openxmlformats.org/officeDocument/2006/relationships/drawing" Target="../drawings/drawing2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2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3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4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5.xml"/><Relationship Id="rId1" Type="http://schemas.openxmlformats.org/officeDocument/2006/relationships/drawing" Target="../drawings/drawing2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6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7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8.xml"/><Relationship Id="rId1" Type="http://schemas.openxmlformats.org/officeDocument/2006/relationships/drawing" Target="../drawings/drawing2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9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0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1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2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3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5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6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7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8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9.xml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0.xml"/><Relationship Id="rId1" Type="http://schemas.openxmlformats.org/officeDocument/2006/relationships/drawing" Target="../drawings/drawing23.xml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1.xml"/><Relationship Id="rId1" Type="http://schemas.openxmlformats.org/officeDocument/2006/relationships/drawing" Target="../drawings/drawing24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2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3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4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5.xml"/></Relationships>
</file>

<file path=xl/worksheets/_rels/sheet6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table" Target="../tables/table46.xml"/><Relationship Id="rId1" Type="http://schemas.openxmlformats.org/officeDocument/2006/relationships/vmlDrawing" Target="../drawings/vmlDrawing1.vml"/><Relationship Id="rId4" Type="http://schemas.microsoft.com/office/2017/10/relationships/threadedComment" Target="../threadedComments/threadedComment1.xml"/></Relationships>
</file>

<file path=xl/worksheets/_rels/sheet6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9.xml"/><Relationship Id="rId2" Type="http://schemas.openxmlformats.org/officeDocument/2006/relationships/table" Target="../tables/table48.xml"/><Relationship Id="rId1" Type="http://schemas.openxmlformats.org/officeDocument/2006/relationships/table" Target="../tables/table47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0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1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2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3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4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5.xml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6.xml"/><Relationship Id="rId1" Type="http://schemas.openxmlformats.org/officeDocument/2006/relationships/drawing" Target="../drawings/drawing2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7.xml"/><Relationship Id="rId1" Type="http://schemas.openxmlformats.org/officeDocument/2006/relationships/drawing" Target="../drawings/drawing26.xml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8.xml"/><Relationship Id="rId1" Type="http://schemas.openxmlformats.org/officeDocument/2006/relationships/drawing" Target="../drawings/drawing27.xml"/></Relationships>
</file>

<file path=xl/worksheets/_rels/sheet7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8.xml"/><Relationship Id="rId2" Type="http://schemas.openxmlformats.org/officeDocument/2006/relationships/hyperlink" Target="https://maps.app.goo.gl/unWLbefzgfd4oa4J7" TargetMode="External"/><Relationship Id="rId1" Type="http://schemas.openxmlformats.org/officeDocument/2006/relationships/hyperlink" Target="https://maps.app.goo.gl/bg9mbxiuCffMizzK6" TargetMode="External"/><Relationship Id="rId4" Type="http://schemas.openxmlformats.org/officeDocument/2006/relationships/table" Target="../tables/table59.xml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0.xml"/><Relationship Id="rId1" Type="http://schemas.openxmlformats.org/officeDocument/2006/relationships/drawing" Target="../drawings/drawing29.xml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1.xml"/><Relationship Id="rId1" Type="http://schemas.openxmlformats.org/officeDocument/2006/relationships/drawing" Target="../drawings/drawing30.xml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2.xml"/><Relationship Id="rId1" Type="http://schemas.openxmlformats.org/officeDocument/2006/relationships/drawing" Target="../drawings/drawing31.xml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3.xml"/><Relationship Id="rId1" Type="http://schemas.openxmlformats.org/officeDocument/2006/relationships/drawing" Target="../drawings/drawing32.xml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4.xml"/><Relationship Id="rId1" Type="http://schemas.openxmlformats.org/officeDocument/2006/relationships/drawing" Target="../drawings/drawing33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5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6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7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8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9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0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BFBFBF"/>
  </sheetPr>
  <dimension ref="A1:AK102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" customHeight="1" x14ac:dyDescent="0.25"/>
  <cols>
    <col min="1" max="1" width="9.42578125" customWidth="1"/>
    <col min="2" max="2" width="7.7109375" customWidth="1"/>
    <col min="3" max="3" width="9.28515625" customWidth="1"/>
    <col min="4" max="5" width="8.28515625" customWidth="1"/>
    <col min="6" max="6" width="8" customWidth="1"/>
    <col min="7" max="7" width="8.28515625" customWidth="1"/>
    <col min="8" max="8" width="20.5703125" customWidth="1"/>
    <col min="9" max="9" width="8.28515625" customWidth="1"/>
    <col min="10" max="10" width="7.42578125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8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8" customWidth="1"/>
    <col min="21" max="21" width="8.28515625" customWidth="1"/>
    <col min="22" max="22" width="8" customWidth="1"/>
    <col min="23" max="23" width="8.28515625" customWidth="1"/>
    <col min="24" max="24" width="8" customWidth="1"/>
    <col min="25" max="25" width="8.28515625" customWidth="1"/>
    <col min="26" max="26" width="8" customWidth="1"/>
    <col min="27" max="27" width="9.28515625" customWidth="1"/>
    <col min="28" max="28" width="12.85546875" customWidth="1"/>
    <col min="29" max="29" width="12.7109375" customWidth="1"/>
    <col min="30" max="30" width="9.140625" customWidth="1"/>
    <col min="31" max="31" width="10.28515625" customWidth="1"/>
    <col min="32" max="32" width="14.28515625" customWidth="1"/>
    <col min="33" max="33" width="9.42578125" customWidth="1"/>
    <col min="34" max="34" width="12.42578125" customWidth="1"/>
    <col min="35" max="35" width="8.5703125" customWidth="1"/>
    <col min="36" max="36" width="11.28515625" customWidth="1"/>
    <col min="37" max="37" width="9.140625" customWidth="1"/>
  </cols>
  <sheetData>
    <row r="1" spans="1:37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20"/>
      <c r="Y1" s="1232" t="s">
        <v>43</v>
      </c>
      <c r="Z1" s="1233"/>
      <c r="AA1" s="1234"/>
      <c r="AB1" s="1219" t="s">
        <v>44</v>
      </c>
      <c r="AC1" s="1220"/>
      <c r="AD1" s="1232" t="s">
        <v>45</v>
      </c>
      <c r="AE1" s="1234"/>
      <c r="AF1" s="43"/>
      <c r="AG1" s="43"/>
      <c r="AH1" s="44"/>
      <c r="AI1" s="44"/>
      <c r="AJ1" s="44"/>
      <c r="AK1" s="44"/>
    </row>
    <row r="2" spans="1:37" ht="15.75" x14ac:dyDescent="0.25">
      <c r="A2" s="45" t="s">
        <v>46</v>
      </c>
      <c r="B2" s="46" t="s">
        <v>47</v>
      </c>
      <c r="C2" s="47" t="s">
        <v>48</v>
      </c>
      <c r="D2" s="48" t="s">
        <v>46</v>
      </c>
      <c r="E2" s="49" t="s">
        <v>47</v>
      </c>
      <c r="F2" s="50" t="s">
        <v>49</v>
      </c>
      <c r="G2" s="51" t="s">
        <v>49</v>
      </c>
      <c r="H2" s="52" t="s">
        <v>46</v>
      </c>
      <c r="I2" s="53" t="s">
        <v>49</v>
      </c>
      <c r="J2" s="54" t="s">
        <v>47</v>
      </c>
      <c r="K2" s="55" t="s">
        <v>46</v>
      </c>
      <c r="L2" s="56" t="s">
        <v>50</v>
      </c>
      <c r="M2" s="57" t="s">
        <v>51</v>
      </c>
      <c r="N2" s="58" t="s">
        <v>52</v>
      </c>
      <c r="O2" s="55" t="s">
        <v>53</v>
      </c>
      <c r="P2" s="59" t="s">
        <v>50</v>
      </c>
      <c r="Q2" s="60" t="s">
        <v>54</v>
      </c>
      <c r="R2" s="61" t="s">
        <v>47</v>
      </c>
      <c r="S2" s="60" t="s">
        <v>55</v>
      </c>
      <c r="T2" s="55" t="s">
        <v>47</v>
      </c>
      <c r="U2" s="62" t="s">
        <v>56</v>
      </c>
      <c r="V2" s="61" t="s">
        <v>47</v>
      </c>
      <c r="W2" s="63" t="s">
        <v>57</v>
      </c>
      <c r="X2" s="61" t="s">
        <v>47</v>
      </c>
      <c r="Y2" s="60" t="s">
        <v>50</v>
      </c>
      <c r="Z2" s="63" t="s">
        <v>13</v>
      </c>
      <c r="AA2" s="58" t="s">
        <v>52</v>
      </c>
      <c r="AB2" s="64" t="s">
        <v>50</v>
      </c>
      <c r="AC2" s="65" t="s">
        <v>52</v>
      </c>
      <c r="AD2" s="64" t="s">
        <v>50</v>
      </c>
      <c r="AE2" s="66" t="s">
        <v>52</v>
      </c>
      <c r="AH2" s="30"/>
      <c r="AI2" s="30"/>
      <c r="AJ2" s="30"/>
      <c r="AK2" s="30"/>
    </row>
    <row r="3" spans="1:37" x14ac:dyDescent="0.25">
      <c r="A3" s="67">
        <v>2180</v>
      </c>
      <c r="B3" s="68">
        <v>43835</v>
      </c>
      <c r="C3" s="69"/>
      <c r="D3" s="70">
        <v>94.67</v>
      </c>
      <c r="E3" s="71">
        <v>43836</v>
      </c>
      <c r="F3" s="72"/>
      <c r="G3" s="73">
        <v>0.8</v>
      </c>
      <c r="H3" s="74">
        <v>1.2</v>
      </c>
      <c r="I3" s="75">
        <v>20</v>
      </c>
      <c r="J3" s="76" t="s">
        <v>58</v>
      </c>
      <c r="K3" s="74"/>
      <c r="L3" s="77"/>
      <c r="M3" s="78" t="s">
        <v>59</v>
      </c>
      <c r="N3" s="79">
        <v>4.5</v>
      </c>
      <c r="O3" s="80">
        <f>AA27-AE6-AC3</f>
        <v>293.39999999999998</v>
      </c>
      <c r="P3" s="81"/>
      <c r="Q3" s="82">
        <v>100</v>
      </c>
      <c r="R3" s="83">
        <v>43839</v>
      </c>
      <c r="S3" s="84">
        <v>100</v>
      </c>
      <c r="T3" s="85">
        <v>43836</v>
      </c>
      <c r="U3" s="86">
        <v>100</v>
      </c>
      <c r="V3" s="83">
        <v>43836</v>
      </c>
      <c r="W3" s="87"/>
      <c r="X3" s="83"/>
      <c r="Y3" s="88"/>
      <c r="Z3" s="89" t="s">
        <v>60</v>
      </c>
      <c r="AA3" s="90">
        <v>80</v>
      </c>
      <c r="AB3" s="91">
        <v>0</v>
      </c>
      <c r="AC3" s="92">
        <v>150</v>
      </c>
      <c r="AD3" s="93">
        <f>A27+T27</f>
        <v>4660.2</v>
      </c>
      <c r="AE3" s="94">
        <f>AE6+AC6+F27</f>
        <v>1986.1000000000001</v>
      </c>
      <c r="AH3" s="30"/>
      <c r="AI3" s="30"/>
      <c r="AJ3" s="30"/>
    </row>
    <row r="4" spans="1:37" ht="18.75" x14ac:dyDescent="0.25">
      <c r="A4" s="95">
        <v>2480.1999999999998</v>
      </c>
      <c r="B4" s="96">
        <v>43855</v>
      </c>
      <c r="C4" s="97"/>
      <c r="D4" s="98">
        <v>163.01</v>
      </c>
      <c r="E4" s="71">
        <v>43839</v>
      </c>
      <c r="F4" s="99"/>
      <c r="G4" s="100">
        <v>0.8</v>
      </c>
      <c r="H4" s="101">
        <v>2.4</v>
      </c>
      <c r="I4" s="102"/>
      <c r="J4" s="76"/>
      <c r="K4" s="101"/>
      <c r="L4" s="103"/>
      <c r="M4" s="104" t="s">
        <v>59</v>
      </c>
      <c r="N4" s="105">
        <v>3</v>
      </c>
      <c r="O4" s="1223" t="s">
        <v>61</v>
      </c>
      <c r="P4" s="1224"/>
      <c r="Q4" s="106">
        <v>100</v>
      </c>
      <c r="R4" s="83"/>
      <c r="S4" s="107">
        <v>50</v>
      </c>
      <c r="T4" s="85" t="s">
        <v>62</v>
      </c>
      <c r="U4" s="108">
        <v>100</v>
      </c>
      <c r="V4" s="83"/>
      <c r="W4" s="109"/>
      <c r="X4" s="83"/>
      <c r="Y4" s="110"/>
      <c r="Z4" s="89">
        <v>43836</v>
      </c>
      <c r="AA4" s="111">
        <v>400</v>
      </c>
      <c r="AB4" s="1238" t="s">
        <v>63</v>
      </c>
      <c r="AC4" s="1239"/>
      <c r="AD4" s="1236" t="s">
        <v>64</v>
      </c>
      <c r="AE4" s="1237"/>
      <c r="AH4" s="30"/>
      <c r="AI4" s="112"/>
      <c r="AJ4" s="30"/>
    </row>
    <row r="5" spans="1:37" ht="15.75" x14ac:dyDescent="0.25">
      <c r="A5" s="113"/>
      <c r="B5" s="96"/>
      <c r="C5" s="97"/>
      <c r="D5" s="98">
        <v>125.2</v>
      </c>
      <c r="E5" s="71">
        <v>43847</v>
      </c>
      <c r="F5" s="114"/>
      <c r="G5" s="100"/>
      <c r="H5" s="101">
        <v>2.4</v>
      </c>
      <c r="I5" s="102"/>
      <c r="J5" s="76"/>
      <c r="K5" s="101"/>
      <c r="L5" s="115"/>
      <c r="M5" s="116" t="s">
        <v>38</v>
      </c>
      <c r="N5" s="105">
        <v>6.7</v>
      </c>
      <c r="O5" s="1225">
        <f>AB9</f>
        <v>-15.860000000000014</v>
      </c>
      <c r="P5" s="1226"/>
      <c r="Q5" s="107">
        <v>50</v>
      </c>
      <c r="R5" s="83" t="s">
        <v>62</v>
      </c>
      <c r="S5" s="118"/>
      <c r="T5" s="85"/>
      <c r="U5" s="108">
        <v>15</v>
      </c>
      <c r="V5" s="83"/>
      <c r="W5" s="109"/>
      <c r="X5" s="83"/>
      <c r="Y5" s="110"/>
      <c r="Z5" s="89">
        <v>43843</v>
      </c>
      <c r="AA5" s="111">
        <v>500</v>
      </c>
      <c r="AB5" s="119" t="s">
        <v>50</v>
      </c>
      <c r="AC5" s="120" t="s">
        <v>52</v>
      </c>
      <c r="AD5" s="121" t="s">
        <v>50</v>
      </c>
      <c r="AE5" s="122" t="s">
        <v>52</v>
      </c>
      <c r="AH5" s="30"/>
      <c r="AI5" s="112"/>
      <c r="AJ5" s="30"/>
    </row>
    <row r="6" spans="1:37" x14ac:dyDescent="0.25">
      <c r="A6" s="113"/>
      <c r="B6" s="96"/>
      <c r="C6" s="97"/>
      <c r="D6" s="98">
        <v>110.02</v>
      </c>
      <c r="E6" s="71">
        <v>43847</v>
      </c>
      <c r="F6" s="99"/>
      <c r="G6" s="100"/>
      <c r="H6" s="101">
        <v>2.4</v>
      </c>
      <c r="I6" s="102"/>
      <c r="J6" s="76"/>
      <c r="K6" s="101"/>
      <c r="L6" s="115"/>
      <c r="M6" s="116"/>
      <c r="N6" s="123"/>
      <c r="O6" s="1223" t="s">
        <v>65</v>
      </c>
      <c r="P6" s="1224"/>
      <c r="Q6" s="106"/>
      <c r="R6" s="83"/>
      <c r="S6" s="118"/>
      <c r="T6" s="85"/>
      <c r="U6" s="124">
        <v>50</v>
      </c>
      <c r="V6" s="83" t="s">
        <v>62</v>
      </c>
      <c r="W6" s="109"/>
      <c r="X6" s="83"/>
      <c r="Y6" s="110"/>
      <c r="Z6" s="89" t="s">
        <v>65</v>
      </c>
      <c r="AA6" s="125">
        <v>200</v>
      </c>
      <c r="AB6" s="126">
        <f>A27+L27</f>
        <v>4660.2</v>
      </c>
      <c r="AC6" s="127">
        <f>D27+H27+K27+N27</f>
        <v>1197.7</v>
      </c>
      <c r="AD6" s="128">
        <f>L27+C27+T27</f>
        <v>0</v>
      </c>
      <c r="AE6" s="129">
        <f>G27+I27+N27+Q27+S27+U27+E27+W27</f>
        <v>536.6</v>
      </c>
      <c r="AH6" s="30"/>
      <c r="AI6" s="112"/>
      <c r="AJ6" s="30"/>
    </row>
    <row r="7" spans="1:37" ht="18.75" x14ac:dyDescent="0.25">
      <c r="A7" s="113"/>
      <c r="B7" s="96"/>
      <c r="C7" s="97"/>
      <c r="D7" s="98">
        <v>124.64</v>
      </c>
      <c r="E7" s="71">
        <v>43848</v>
      </c>
      <c r="F7" s="99"/>
      <c r="G7" s="100"/>
      <c r="H7" s="101">
        <v>2.4</v>
      </c>
      <c r="I7" s="102"/>
      <c r="J7" s="76"/>
      <c r="K7" s="101"/>
      <c r="L7" s="115"/>
      <c r="M7" s="116"/>
      <c r="N7" s="130"/>
      <c r="O7" s="1227">
        <v>50</v>
      </c>
      <c r="P7" s="1228"/>
      <c r="Q7" s="106"/>
      <c r="R7" s="83"/>
      <c r="S7" s="118"/>
      <c r="T7" s="85"/>
      <c r="U7" s="102"/>
      <c r="V7" s="83"/>
      <c r="W7" s="109"/>
      <c r="X7" s="83"/>
      <c r="Y7" s="110"/>
      <c r="Z7" s="89"/>
      <c r="AA7" s="111"/>
      <c r="AB7" s="131" t="s">
        <v>66</v>
      </c>
      <c r="AC7" s="132" t="s">
        <v>67</v>
      </c>
      <c r="AH7" s="30"/>
      <c r="AI7" s="30"/>
      <c r="AJ7" s="30"/>
    </row>
    <row r="8" spans="1:37" x14ac:dyDescent="0.25">
      <c r="A8" s="113"/>
      <c r="B8" s="96"/>
      <c r="C8" s="97"/>
      <c r="D8" s="98">
        <v>100</v>
      </c>
      <c r="E8" s="71">
        <v>43854</v>
      </c>
      <c r="F8" s="99"/>
      <c r="G8" s="100"/>
      <c r="H8" s="101">
        <v>2.4</v>
      </c>
      <c r="I8" s="102"/>
      <c r="J8" s="76"/>
      <c r="K8" s="101"/>
      <c r="L8" s="115"/>
      <c r="M8" s="116"/>
      <c r="N8" s="130"/>
      <c r="O8" s="133"/>
      <c r="P8" s="134"/>
      <c r="Q8" s="135"/>
      <c r="R8" s="83"/>
      <c r="S8" s="118"/>
      <c r="T8" s="85"/>
      <c r="U8" s="136"/>
      <c r="V8" s="137"/>
      <c r="W8" s="138"/>
      <c r="X8" s="83"/>
      <c r="Y8" s="110"/>
      <c r="Z8" s="89"/>
      <c r="AA8" s="111"/>
      <c r="AB8" s="139">
        <v>150</v>
      </c>
      <c r="AC8" s="140">
        <f>E25+E24</f>
        <v>165.86</v>
      </c>
      <c r="AH8" s="30"/>
      <c r="AI8" s="30"/>
      <c r="AJ8" s="30"/>
    </row>
    <row r="9" spans="1:37" x14ac:dyDescent="0.25">
      <c r="A9" s="113"/>
      <c r="B9" s="76"/>
      <c r="C9" s="141"/>
      <c r="D9" s="142"/>
      <c r="E9" s="71"/>
      <c r="F9" s="99"/>
      <c r="G9" s="100"/>
      <c r="H9" s="143">
        <v>1.2</v>
      </c>
      <c r="I9" s="102"/>
      <c r="J9" s="76"/>
      <c r="K9" s="101"/>
      <c r="L9" s="115"/>
      <c r="M9" s="116"/>
      <c r="N9" s="130"/>
      <c r="O9" s="144"/>
      <c r="P9" s="145"/>
      <c r="Q9" s="106"/>
      <c r="R9" s="83"/>
      <c r="S9" s="118"/>
      <c r="T9" s="85"/>
      <c r="U9" s="102"/>
      <c r="V9" s="83"/>
      <c r="W9" s="109"/>
      <c r="X9" s="83"/>
      <c r="Y9" s="110"/>
      <c r="Z9" s="89"/>
      <c r="AA9" s="111"/>
      <c r="AB9" s="1221">
        <f>AB8-AC8</f>
        <v>-15.860000000000014</v>
      </c>
      <c r="AC9" s="1222"/>
      <c r="AH9" s="30"/>
      <c r="AI9" s="30"/>
      <c r="AJ9" s="146"/>
    </row>
    <row r="10" spans="1:37" x14ac:dyDescent="0.25">
      <c r="A10" s="113"/>
      <c r="B10" s="76"/>
      <c r="C10" s="141"/>
      <c r="D10" s="98"/>
      <c r="E10" s="71"/>
      <c r="F10" s="114"/>
      <c r="G10" s="100"/>
      <c r="H10" s="101">
        <v>2.4</v>
      </c>
      <c r="I10" s="102"/>
      <c r="J10" s="76"/>
      <c r="K10" s="101"/>
      <c r="L10" s="115"/>
      <c r="M10" s="116"/>
      <c r="N10" s="147"/>
      <c r="O10" s="144"/>
      <c r="P10" s="145"/>
      <c r="Q10" s="106"/>
      <c r="R10" s="83"/>
      <c r="S10" s="118"/>
      <c r="T10" s="85"/>
      <c r="U10" s="102"/>
      <c r="V10" s="83"/>
      <c r="W10" s="109"/>
      <c r="X10" s="83"/>
      <c r="Y10" s="110"/>
      <c r="Z10" s="89"/>
      <c r="AA10" s="111"/>
      <c r="AH10" s="30"/>
      <c r="AI10" s="30"/>
      <c r="AJ10" s="30"/>
    </row>
    <row r="11" spans="1:37" x14ac:dyDescent="0.25">
      <c r="A11" s="113"/>
      <c r="B11" s="76"/>
      <c r="C11" s="141"/>
      <c r="D11" s="148"/>
      <c r="E11" s="71"/>
      <c r="F11" s="149"/>
      <c r="G11" s="100"/>
      <c r="H11" s="101">
        <v>2.4</v>
      </c>
      <c r="I11" s="102"/>
      <c r="J11" s="76"/>
      <c r="K11" s="101"/>
      <c r="L11" s="115"/>
      <c r="M11" s="116"/>
      <c r="N11" s="150"/>
      <c r="O11" s="144"/>
      <c r="P11" s="145"/>
      <c r="Q11" s="135"/>
      <c r="R11" s="83"/>
      <c r="S11" s="118"/>
      <c r="T11" s="85"/>
      <c r="U11" s="102"/>
      <c r="V11" s="83"/>
      <c r="W11" s="109"/>
      <c r="X11" s="83"/>
      <c r="Y11" s="110"/>
      <c r="Z11" s="89"/>
      <c r="AA11" s="111"/>
      <c r="AH11" s="30"/>
      <c r="AI11" s="30"/>
      <c r="AJ11" s="30"/>
    </row>
    <row r="12" spans="1:37" x14ac:dyDescent="0.25">
      <c r="A12" s="113"/>
      <c r="B12" s="76"/>
      <c r="C12" s="141"/>
      <c r="D12" s="151"/>
      <c r="E12" s="71"/>
      <c r="F12" s="149"/>
      <c r="G12" s="100"/>
      <c r="H12" s="101">
        <v>2.4</v>
      </c>
      <c r="I12" s="102"/>
      <c r="J12" s="76"/>
      <c r="K12" s="101"/>
      <c r="L12" s="115"/>
      <c r="M12" s="116"/>
      <c r="N12" s="150"/>
      <c r="O12" s="144"/>
      <c r="P12" s="145"/>
      <c r="Q12" s="106"/>
      <c r="R12" s="83"/>
      <c r="S12" s="118"/>
      <c r="T12" s="85"/>
      <c r="U12" s="102"/>
      <c r="V12" s="83"/>
      <c r="W12" s="109"/>
      <c r="X12" s="83"/>
      <c r="Y12" s="110"/>
      <c r="Z12" s="89"/>
      <c r="AA12" s="111"/>
      <c r="AH12" s="30"/>
      <c r="AI12" s="30"/>
      <c r="AJ12" s="30"/>
    </row>
    <row r="13" spans="1:37" x14ac:dyDescent="0.25">
      <c r="A13" s="113"/>
      <c r="B13" s="76"/>
      <c r="C13" s="141"/>
      <c r="D13" s="152"/>
      <c r="E13" s="71"/>
      <c r="F13" s="149"/>
      <c r="G13" s="100"/>
      <c r="H13" s="101">
        <v>2.4</v>
      </c>
      <c r="I13" s="102"/>
      <c r="J13" s="76"/>
      <c r="K13" s="101"/>
      <c r="L13" s="115"/>
      <c r="M13" s="116"/>
      <c r="N13" s="150"/>
      <c r="O13" s="144"/>
      <c r="P13" s="145"/>
      <c r="Q13" s="106"/>
      <c r="R13" s="83"/>
      <c r="S13" s="118"/>
      <c r="T13" s="85"/>
      <c r="U13" s="102"/>
      <c r="V13" s="83"/>
      <c r="W13" s="109"/>
      <c r="X13" s="83"/>
      <c r="Y13" s="110"/>
      <c r="Z13" s="89"/>
      <c r="AA13" s="111"/>
      <c r="AB13" s="30"/>
      <c r="AC13" s="30"/>
      <c r="AD13" s="30"/>
      <c r="AE13" s="30"/>
      <c r="AG13" s="30"/>
      <c r="AH13" s="30"/>
      <c r="AI13" s="30"/>
      <c r="AJ13" s="30"/>
    </row>
    <row r="14" spans="1:37" x14ac:dyDescent="0.25">
      <c r="A14" s="113"/>
      <c r="B14" s="76"/>
      <c r="C14" s="141"/>
      <c r="D14" s="148"/>
      <c r="E14" s="71"/>
      <c r="F14" s="149"/>
      <c r="G14" s="100"/>
      <c r="H14" s="101">
        <v>2.4</v>
      </c>
      <c r="I14" s="102"/>
      <c r="J14" s="76"/>
      <c r="K14" s="101"/>
      <c r="L14" s="115"/>
      <c r="M14" s="116"/>
      <c r="N14" s="150"/>
      <c r="O14" s="144"/>
      <c r="P14" s="145"/>
      <c r="Q14" s="106"/>
      <c r="R14" s="83"/>
      <c r="S14" s="118"/>
      <c r="T14" s="85"/>
      <c r="U14" s="102"/>
      <c r="V14" s="83"/>
      <c r="W14" s="109"/>
      <c r="X14" s="83"/>
      <c r="Y14" s="110"/>
      <c r="Z14" s="89"/>
      <c r="AA14" s="111"/>
      <c r="AB14" s="30"/>
      <c r="AC14" s="30"/>
      <c r="AD14" s="30"/>
      <c r="AE14" s="30"/>
      <c r="AG14" s="30"/>
    </row>
    <row r="15" spans="1:37" x14ac:dyDescent="0.25">
      <c r="A15" s="113"/>
      <c r="B15" s="76"/>
      <c r="C15" s="141"/>
      <c r="D15" s="148"/>
      <c r="E15" s="71"/>
      <c r="F15" s="149"/>
      <c r="G15" s="100"/>
      <c r="H15" s="101">
        <v>2.4</v>
      </c>
      <c r="I15" s="102"/>
      <c r="J15" s="76"/>
      <c r="K15" s="101"/>
      <c r="L15" s="115"/>
      <c r="M15" s="116"/>
      <c r="N15" s="150"/>
      <c r="O15" s="144"/>
      <c r="P15" s="145"/>
      <c r="Q15" s="106"/>
      <c r="R15" s="83"/>
      <c r="S15" s="118"/>
      <c r="T15" s="85"/>
      <c r="U15" s="102"/>
      <c r="V15" s="83"/>
      <c r="W15" s="109"/>
      <c r="X15" s="83"/>
      <c r="Y15" s="110"/>
      <c r="Z15" s="89"/>
      <c r="AA15" s="111"/>
      <c r="AB15" s="30"/>
      <c r="AC15" s="30"/>
      <c r="AD15" s="30"/>
      <c r="AE15" s="30"/>
      <c r="AG15" s="30"/>
    </row>
    <row r="16" spans="1:37" x14ac:dyDescent="0.25">
      <c r="A16" s="113"/>
      <c r="B16" s="76"/>
      <c r="C16" s="141"/>
      <c r="D16" s="148"/>
      <c r="E16" s="71"/>
      <c r="F16" s="149"/>
      <c r="G16" s="100"/>
      <c r="H16" s="101">
        <v>2.4</v>
      </c>
      <c r="I16" s="102"/>
      <c r="J16" s="76"/>
      <c r="K16" s="101"/>
      <c r="L16" s="115"/>
      <c r="M16" s="116"/>
      <c r="N16" s="150"/>
      <c r="O16" s="144"/>
      <c r="P16" s="145"/>
      <c r="Q16" s="106"/>
      <c r="R16" s="83"/>
      <c r="S16" s="118"/>
      <c r="T16" s="85"/>
      <c r="U16" s="102"/>
      <c r="V16" s="83"/>
      <c r="W16" s="109"/>
      <c r="X16" s="83"/>
      <c r="Y16" s="110"/>
      <c r="Z16" s="89"/>
      <c r="AA16" s="111"/>
      <c r="AB16" s="30"/>
      <c r="AC16" s="30"/>
      <c r="AD16" s="30"/>
      <c r="AE16" s="30"/>
      <c r="AG16" s="30"/>
    </row>
    <row r="17" spans="1:37" x14ac:dyDescent="0.25">
      <c r="A17" s="113"/>
      <c r="B17" s="76"/>
      <c r="C17" s="141"/>
      <c r="D17" s="153"/>
      <c r="E17" s="154" t="s">
        <v>61</v>
      </c>
      <c r="F17" s="149"/>
      <c r="G17" s="100"/>
      <c r="H17" s="101">
        <v>2.4</v>
      </c>
      <c r="I17" s="102"/>
      <c r="J17" s="76"/>
      <c r="K17" s="101"/>
      <c r="L17" s="115"/>
      <c r="M17" s="116"/>
      <c r="N17" s="150"/>
      <c r="O17" s="144"/>
      <c r="P17" s="145"/>
      <c r="Q17" s="106"/>
      <c r="R17" s="83"/>
      <c r="S17" s="118"/>
      <c r="T17" s="85"/>
      <c r="U17" s="102"/>
      <c r="V17" s="83"/>
      <c r="W17" s="109"/>
      <c r="X17" s="83"/>
      <c r="Y17" s="110"/>
      <c r="Z17" s="89"/>
      <c r="AA17" s="111"/>
      <c r="AB17" s="30"/>
      <c r="AC17" s="30"/>
      <c r="AD17" s="30"/>
      <c r="AE17" s="30"/>
      <c r="AG17" s="30"/>
    </row>
    <row r="18" spans="1:37" x14ac:dyDescent="0.25">
      <c r="A18" s="113"/>
      <c r="B18" s="76"/>
      <c r="C18" s="141"/>
      <c r="D18" s="155">
        <v>27.07</v>
      </c>
      <c r="E18" s="154">
        <v>43848</v>
      </c>
      <c r="F18" s="149"/>
      <c r="G18" s="100"/>
      <c r="H18" s="101">
        <v>24.1</v>
      </c>
      <c r="I18" s="102"/>
      <c r="J18" s="76"/>
      <c r="K18" s="101"/>
      <c r="L18" s="115"/>
      <c r="M18" s="116"/>
      <c r="N18" s="150"/>
      <c r="O18" s="144"/>
      <c r="P18" s="145"/>
      <c r="Q18" s="106"/>
      <c r="R18" s="83"/>
      <c r="S18" s="118"/>
      <c r="T18" s="85"/>
      <c r="U18" s="102"/>
      <c r="V18" s="83"/>
      <c r="W18" s="109"/>
      <c r="X18" s="83"/>
      <c r="Y18" s="110"/>
      <c r="Z18" s="89"/>
      <c r="AA18" s="111"/>
      <c r="AB18" s="30"/>
      <c r="AC18" s="30"/>
      <c r="AD18" s="30"/>
      <c r="AE18" s="30"/>
      <c r="AG18" s="30"/>
    </row>
    <row r="19" spans="1:37" x14ac:dyDescent="0.25">
      <c r="A19" s="113"/>
      <c r="B19" s="76"/>
      <c r="C19" s="141"/>
      <c r="D19" s="155">
        <v>114</v>
      </c>
      <c r="E19" s="154">
        <v>43848</v>
      </c>
      <c r="F19" s="149"/>
      <c r="G19" s="100"/>
      <c r="H19" s="101">
        <v>4.0999999999999996</v>
      </c>
      <c r="I19" s="102"/>
      <c r="J19" s="76"/>
      <c r="K19" s="101"/>
      <c r="L19" s="115"/>
      <c r="M19" s="116"/>
      <c r="N19" s="150"/>
      <c r="O19" s="144"/>
      <c r="P19" s="145"/>
      <c r="Q19" s="106"/>
      <c r="R19" s="83"/>
      <c r="S19" s="118"/>
      <c r="T19" s="85"/>
      <c r="U19" s="102"/>
      <c r="V19" s="83"/>
      <c r="W19" s="109"/>
      <c r="X19" s="83"/>
      <c r="Y19" s="110"/>
      <c r="Z19" s="89"/>
      <c r="AA19" s="111"/>
      <c r="AB19" s="30"/>
      <c r="AC19" s="30"/>
      <c r="AD19" s="30"/>
      <c r="AE19" s="30"/>
      <c r="AG19" s="30"/>
    </row>
    <row r="20" spans="1:37" x14ac:dyDescent="0.25">
      <c r="A20" s="113"/>
      <c r="B20" s="76"/>
      <c r="C20" s="141"/>
      <c r="D20" s="156"/>
      <c r="E20" s="71"/>
      <c r="F20" s="149"/>
      <c r="G20" s="100"/>
      <c r="H20" s="101">
        <v>2.4</v>
      </c>
      <c r="I20" s="102"/>
      <c r="J20" s="76"/>
      <c r="K20" s="101"/>
      <c r="L20" s="115"/>
      <c r="M20" s="116"/>
      <c r="N20" s="150"/>
      <c r="O20" s="144"/>
      <c r="P20" s="145"/>
      <c r="Q20" s="106"/>
      <c r="R20" s="83"/>
      <c r="S20" s="118"/>
      <c r="T20" s="85"/>
      <c r="U20" s="102"/>
      <c r="V20" s="83"/>
      <c r="W20" s="109"/>
      <c r="X20" s="83"/>
      <c r="Y20" s="110"/>
      <c r="Z20" s="89"/>
      <c r="AA20" s="111"/>
      <c r="AB20" s="30"/>
      <c r="AC20" s="30"/>
      <c r="AD20" s="30"/>
      <c r="AE20" s="30"/>
      <c r="AG20" s="30"/>
    </row>
    <row r="21" spans="1:37" ht="15.75" customHeight="1" x14ac:dyDescent="0.25">
      <c r="A21" s="113"/>
      <c r="B21" s="76"/>
      <c r="C21" s="141"/>
      <c r="D21" s="156">
        <v>110.73</v>
      </c>
      <c r="E21" s="71">
        <v>43854</v>
      </c>
      <c r="F21" s="149"/>
      <c r="G21" s="100"/>
      <c r="H21" s="101">
        <v>2.4</v>
      </c>
      <c r="I21" s="102"/>
      <c r="J21" s="76"/>
      <c r="K21" s="101"/>
      <c r="L21" s="115"/>
      <c r="M21" s="116"/>
      <c r="N21" s="150"/>
      <c r="O21" s="144"/>
      <c r="P21" s="145"/>
      <c r="Q21" s="106"/>
      <c r="R21" s="83"/>
      <c r="S21" s="118"/>
      <c r="T21" s="85"/>
      <c r="U21" s="102"/>
      <c r="V21" s="83"/>
      <c r="W21" s="109"/>
      <c r="X21" s="83"/>
      <c r="Y21" s="110"/>
      <c r="Z21" s="89"/>
      <c r="AA21" s="111"/>
      <c r="AB21" s="30"/>
      <c r="AC21" s="30"/>
      <c r="AD21" s="30"/>
      <c r="AE21" s="30"/>
      <c r="AG21" s="30"/>
    </row>
    <row r="22" spans="1:37" ht="15.75" customHeight="1" x14ac:dyDescent="0.25">
      <c r="A22" s="113"/>
      <c r="B22" s="76"/>
      <c r="C22" s="141"/>
      <c r="D22" s="148"/>
      <c r="E22" s="71"/>
      <c r="F22" s="149"/>
      <c r="G22" s="100"/>
      <c r="H22" s="101">
        <v>2.4</v>
      </c>
      <c r="I22" s="102"/>
      <c r="J22" s="76"/>
      <c r="K22" s="101"/>
      <c r="L22" s="115"/>
      <c r="M22" s="116"/>
      <c r="N22" s="150"/>
      <c r="O22" s="144"/>
      <c r="P22" s="145"/>
      <c r="Q22" s="106"/>
      <c r="R22" s="83"/>
      <c r="S22" s="118"/>
      <c r="T22" s="85"/>
      <c r="U22" s="102"/>
      <c r="V22" s="83"/>
      <c r="W22" s="109"/>
      <c r="X22" s="83"/>
      <c r="Y22" s="110"/>
      <c r="Z22" s="89"/>
      <c r="AA22" s="111"/>
      <c r="AB22" s="30"/>
      <c r="AC22" s="30"/>
      <c r="AD22" s="30"/>
      <c r="AE22" s="30"/>
      <c r="AG22" s="30"/>
    </row>
    <row r="23" spans="1:37" ht="15.75" customHeight="1" x14ac:dyDescent="0.25">
      <c r="A23" s="113"/>
      <c r="B23" s="76"/>
      <c r="C23" s="141"/>
      <c r="D23" s="148"/>
      <c r="E23" s="71"/>
      <c r="F23" s="149"/>
      <c r="G23" s="100"/>
      <c r="H23" s="101">
        <v>2.4</v>
      </c>
      <c r="I23" s="102"/>
      <c r="J23" s="76"/>
      <c r="K23" s="101"/>
      <c r="L23" s="115"/>
      <c r="M23" s="116"/>
      <c r="N23" s="150"/>
      <c r="O23" s="144"/>
      <c r="P23" s="145"/>
      <c r="Q23" s="100"/>
      <c r="R23" s="83"/>
      <c r="S23" s="118"/>
      <c r="T23" s="85"/>
      <c r="U23" s="102"/>
      <c r="V23" s="83"/>
      <c r="W23" s="109"/>
      <c r="X23" s="83"/>
      <c r="Y23" s="110"/>
      <c r="Z23" s="89"/>
      <c r="AA23" s="111"/>
      <c r="AB23" s="30"/>
      <c r="AC23" s="30"/>
      <c r="AD23" s="30"/>
      <c r="AE23" s="30"/>
      <c r="AG23" s="30"/>
    </row>
    <row r="24" spans="1:37" ht="15.75" customHeight="1" x14ac:dyDescent="0.25">
      <c r="A24" s="113"/>
      <c r="B24" s="76"/>
      <c r="C24" s="141"/>
      <c r="D24" s="148"/>
      <c r="E24" s="157">
        <v>134.03</v>
      </c>
      <c r="F24" s="149"/>
      <c r="G24" s="100"/>
      <c r="H24" s="101">
        <v>2.4</v>
      </c>
      <c r="I24" s="102"/>
      <c r="J24" s="76"/>
      <c r="K24" s="101"/>
      <c r="L24" s="115"/>
      <c r="M24" s="116"/>
      <c r="N24" s="150"/>
      <c r="O24" s="144"/>
      <c r="P24" s="145"/>
      <c r="Q24" s="100"/>
      <c r="R24" s="83"/>
      <c r="S24" s="118"/>
      <c r="T24" s="85"/>
      <c r="U24" s="102"/>
      <c r="V24" s="83"/>
      <c r="W24" s="109"/>
      <c r="X24" s="83"/>
      <c r="Y24" s="110"/>
      <c r="Z24" s="89"/>
      <c r="AA24" s="111"/>
      <c r="AB24" s="30"/>
      <c r="AC24" s="30"/>
      <c r="AD24" s="30"/>
      <c r="AE24" s="30"/>
      <c r="AG24" s="30"/>
    </row>
    <row r="25" spans="1:37" ht="15.75" customHeight="1" x14ac:dyDescent="0.25">
      <c r="A25" s="158"/>
      <c r="B25" s="159"/>
      <c r="C25" s="160"/>
      <c r="D25" s="161"/>
      <c r="E25" s="162">
        <v>31.83</v>
      </c>
      <c r="F25" s="163"/>
      <c r="G25" s="164"/>
      <c r="H25" s="117">
        <v>33.799999999999997</v>
      </c>
      <c r="I25" s="165"/>
      <c r="J25" s="159"/>
      <c r="K25" s="117"/>
      <c r="L25" s="166"/>
      <c r="M25" s="167"/>
      <c r="N25" s="168">
        <f>SUM(N1:N23)</f>
        <v>14.2</v>
      </c>
      <c r="O25" s="169"/>
      <c r="P25" s="170"/>
      <c r="Q25" s="164"/>
      <c r="R25" s="171"/>
      <c r="S25" s="172"/>
      <c r="T25" s="39"/>
      <c r="U25" s="165"/>
      <c r="V25" s="173"/>
      <c r="W25" s="174"/>
      <c r="X25" s="173"/>
      <c r="Y25" s="175"/>
      <c r="Z25" s="176"/>
      <c r="AA25" s="177"/>
      <c r="AB25" s="30"/>
      <c r="AC25" s="30"/>
      <c r="AD25" s="30"/>
      <c r="AE25" s="30"/>
      <c r="AG25" s="30"/>
    </row>
    <row r="26" spans="1:37" ht="15.75" customHeight="1" x14ac:dyDescent="0.25">
      <c r="A26" s="178" t="s">
        <v>68</v>
      </c>
      <c r="B26" s="179"/>
      <c r="C26" s="180" t="s">
        <v>68</v>
      </c>
      <c r="D26" s="1229" t="s">
        <v>69</v>
      </c>
      <c r="E26" s="1230"/>
      <c r="F26" s="180" t="s">
        <v>61</v>
      </c>
      <c r="G26" s="1229" t="s">
        <v>69</v>
      </c>
      <c r="H26" s="1231"/>
      <c r="I26" s="181" t="s">
        <v>69</v>
      </c>
      <c r="J26" s="180"/>
      <c r="K26" s="181" t="s">
        <v>69</v>
      </c>
      <c r="L26" s="182" t="s">
        <v>68</v>
      </c>
      <c r="M26" s="183"/>
      <c r="N26" s="184" t="s">
        <v>69</v>
      </c>
      <c r="O26" s="185" t="s">
        <v>69</v>
      </c>
      <c r="P26" s="186" t="s">
        <v>68</v>
      </c>
      <c r="Q26" s="187" t="s">
        <v>69</v>
      </c>
      <c r="R26" s="188" t="s">
        <v>68</v>
      </c>
      <c r="S26" s="189" t="s">
        <v>69</v>
      </c>
      <c r="T26" s="190" t="s">
        <v>70</v>
      </c>
      <c r="U26" s="191" t="s">
        <v>69</v>
      </c>
      <c r="V26" s="188" t="s">
        <v>70</v>
      </c>
      <c r="W26" s="187" t="s">
        <v>69</v>
      </c>
      <c r="X26" s="188" t="s">
        <v>70</v>
      </c>
      <c r="Y26" s="192" t="s">
        <v>68</v>
      </c>
      <c r="Z26" s="190"/>
      <c r="AA26" s="193" t="s">
        <v>69</v>
      </c>
      <c r="AC26" s="30"/>
      <c r="AD26" s="30"/>
      <c r="AE26" s="30"/>
      <c r="AG26" s="30"/>
    </row>
    <row r="27" spans="1:37" ht="15.75" customHeight="1" x14ac:dyDescent="0.25">
      <c r="A27" s="194">
        <f>SUM(A3:A25)</f>
        <v>4660.2</v>
      </c>
      <c r="B27" s="195"/>
      <c r="C27" s="196">
        <f>SUM(C3:C25)</f>
        <v>0</v>
      </c>
      <c r="D27" s="197">
        <f>SUM(D3:D8)+E24+E25</f>
        <v>883.4</v>
      </c>
      <c r="E27" s="197">
        <f>SUM(F3:F25)</f>
        <v>0</v>
      </c>
      <c r="F27" s="198">
        <f>SUM(D18:D21)</f>
        <v>251.8</v>
      </c>
      <c r="G27" s="197">
        <f>SUM(G3:G25)</f>
        <v>1.6</v>
      </c>
      <c r="H27" s="199">
        <f>SUM(H3:H25)+H28+H29+H30+H31+H32+H33+H34+H35+H36+H37+H38+H39+H40+H41+I28+I29+I30+I31</f>
        <v>314.30000000000007</v>
      </c>
      <c r="I27" s="197">
        <f>SUM(I3:I25)</f>
        <v>20</v>
      </c>
      <c r="J27" s="200"/>
      <c r="K27" s="197">
        <f t="shared" ref="K27:L27" si="0">SUM(K3:K25)</f>
        <v>0</v>
      </c>
      <c r="L27" s="201">
        <f t="shared" si="0"/>
        <v>0</v>
      </c>
      <c r="M27" s="202"/>
      <c r="N27" s="203"/>
      <c r="O27" s="204">
        <f>O3+O5</f>
        <v>277.53999999999996</v>
      </c>
      <c r="P27" s="205">
        <f>P3</f>
        <v>0</v>
      </c>
      <c r="Q27" s="203">
        <f>SUM(Q3:Q4)</f>
        <v>200</v>
      </c>
      <c r="R27" s="206">
        <v>0</v>
      </c>
      <c r="S27" s="207">
        <f>SUM(S5:S25)+S3</f>
        <v>100</v>
      </c>
      <c r="T27" s="208">
        <v>0</v>
      </c>
      <c r="U27" s="209">
        <f>SUM(U3:U5)+U16+U7</f>
        <v>215</v>
      </c>
      <c r="V27" s="206">
        <v>850</v>
      </c>
      <c r="W27" s="203">
        <f>SUM(W3:W25)</f>
        <v>0</v>
      </c>
      <c r="X27" s="210"/>
      <c r="Y27" s="211">
        <f>SUM(Y3:Y25)</f>
        <v>0</v>
      </c>
      <c r="Z27" s="212"/>
      <c r="AA27" s="213">
        <f>SUM(AA4:AA5)+AA3</f>
        <v>980</v>
      </c>
      <c r="AC27" s="30"/>
      <c r="AD27" s="30"/>
      <c r="AE27" s="30"/>
      <c r="AG27" s="30"/>
    </row>
    <row r="28" spans="1:37" ht="15.75" customHeight="1" x14ac:dyDescent="0.25">
      <c r="H28" s="101">
        <v>2.4</v>
      </c>
      <c r="I28" s="101">
        <v>5.6</v>
      </c>
      <c r="AC28" s="30"/>
      <c r="AD28" s="30"/>
      <c r="AE28" s="30"/>
      <c r="AG28" s="30"/>
    </row>
    <row r="29" spans="1:37" ht="15.75" customHeight="1" x14ac:dyDescent="0.25">
      <c r="H29" s="101">
        <v>46.6</v>
      </c>
      <c r="I29" s="101">
        <v>3.7</v>
      </c>
      <c r="AC29" s="30"/>
      <c r="AD29" s="30"/>
      <c r="AE29" s="30"/>
      <c r="AG29" s="30"/>
    </row>
    <row r="30" spans="1:37" ht="15.75" customHeight="1" x14ac:dyDescent="0.25">
      <c r="E30" s="30"/>
      <c r="F30" s="30"/>
      <c r="G30" s="30"/>
      <c r="H30" s="101">
        <v>40.299999999999997</v>
      </c>
      <c r="I30" s="101">
        <v>2.7</v>
      </c>
      <c r="M30" s="30"/>
      <c r="P30" s="30"/>
      <c r="R30" s="30"/>
      <c r="T30" s="30"/>
      <c r="U30" s="30"/>
      <c r="AD30" s="30"/>
      <c r="AE30" s="30"/>
      <c r="AG30" s="30"/>
      <c r="AH30" s="30"/>
      <c r="AI30" s="30"/>
      <c r="AK30" s="30"/>
    </row>
    <row r="31" spans="1:37" ht="15.75" customHeight="1" x14ac:dyDescent="0.25">
      <c r="E31" s="30"/>
      <c r="F31" s="30"/>
      <c r="G31" s="30"/>
      <c r="H31" s="101">
        <v>10</v>
      </c>
      <c r="I31" s="101">
        <v>47.1</v>
      </c>
      <c r="J31" s="30"/>
      <c r="K31" s="30"/>
      <c r="L31" s="30"/>
      <c r="M31" s="30"/>
      <c r="P31" s="30"/>
      <c r="R31" s="30"/>
      <c r="T31" s="30"/>
      <c r="U31" s="30"/>
      <c r="AD31" s="30"/>
      <c r="AE31" s="30"/>
      <c r="AG31" s="30"/>
      <c r="AH31" s="30"/>
      <c r="AI31" s="30"/>
      <c r="AK31" s="30"/>
    </row>
    <row r="32" spans="1:37" ht="15.75" customHeight="1" x14ac:dyDescent="0.25">
      <c r="E32" s="30"/>
      <c r="F32" s="30"/>
      <c r="G32" s="30"/>
      <c r="H32" s="101">
        <v>1.9</v>
      </c>
      <c r="I32" s="101"/>
      <c r="J32" s="30"/>
      <c r="K32" s="30"/>
      <c r="L32" s="30"/>
      <c r="M32" s="30"/>
      <c r="P32" s="30"/>
      <c r="R32" s="30"/>
      <c r="T32" s="30"/>
      <c r="U32" s="30"/>
      <c r="AD32" s="30"/>
      <c r="AE32" s="30"/>
      <c r="AG32" s="30"/>
      <c r="AH32" s="30"/>
      <c r="AI32" s="30"/>
      <c r="AK32" s="30"/>
    </row>
    <row r="33" spans="5:37" ht="15.75" customHeight="1" x14ac:dyDescent="0.25">
      <c r="E33" s="30"/>
      <c r="F33" s="30"/>
      <c r="G33" s="30"/>
      <c r="H33" s="101">
        <v>5.4</v>
      </c>
      <c r="I33" s="101"/>
      <c r="J33" s="30"/>
      <c r="K33" s="30"/>
      <c r="L33" s="30"/>
      <c r="M33" s="30"/>
      <c r="P33" s="30"/>
      <c r="Q33" s="30"/>
      <c r="R33" s="30"/>
      <c r="T33" s="30"/>
      <c r="U33" s="30"/>
      <c r="AD33" s="30"/>
      <c r="AE33" s="30"/>
      <c r="AG33" s="30"/>
      <c r="AH33" s="30"/>
      <c r="AI33" s="30"/>
      <c r="AK33" s="30"/>
    </row>
    <row r="34" spans="5:37" ht="15.75" customHeight="1" x14ac:dyDescent="0.25">
      <c r="E34" s="30"/>
      <c r="F34" s="30"/>
      <c r="G34" s="30"/>
      <c r="H34" s="101">
        <v>8.4</v>
      </c>
      <c r="I34" s="101"/>
      <c r="J34" s="30"/>
      <c r="K34" s="30"/>
      <c r="L34" s="30"/>
      <c r="M34" s="30"/>
      <c r="P34" s="30"/>
      <c r="Q34" s="30"/>
      <c r="R34" s="30"/>
      <c r="T34" s="30"/>
      <c r="U34" s="30"/>
      <c r="AD34" s="30"/>
      <c r="AE34" s="30"/>
      <c r="AG34" s="30"/>
      <c r="AH34" s="30"/>
      <c r="AI34" s="30"/>
      <c r="AK34" s="30"/>
    </row>
    <row r="35" spans="5:37" ht="15.75" customHeight="1" x14ac:dyDescent="0.25">
      <c r="E35" s="30"/>
      <c r="F35" s="30"/>
      <c r="G35" s="30"/>
      <c r="H35" s="101">
        <v>3.7</v>
      </c>
      <c r="I35" s="101"/>
      <c r="J35" s="30"/>
      <c r="K35" s="30"/>
      <c r="L35" s="30"/>
      <c r="M35" s="30"/>
      <c r="P35" s="30"/>
      <c r="Q35" s="30"/>
      <c r="R35" s="30"/>
      <c r="T35" s="30"/>
      <c r="U35" s="30"/>
      <c r="AD35" s="30"/>
      <c r="AE35" s="30"/>
      <c r="AG35" s="30"/>
      <c r="AH35" s="30"/>
      <c r="AI35" s="30"/>
      <c r="AK35" s="30"/>
    </row>
    <row r="36" spans="5:37" ht="15.75" customHeight="1" x14ac:dyDescent="0.25">
      <c r="H36" s="101">
        <v>1.1000000000000001</v>
      </c>
      <c r="I36" s="101"/>
      <c r="Q36" s="30"/>
    </row>
    <row r="37" spans="5:37" ht="15.75" customHeight="1" x14ac:dyDescent="0.25">
      <c r="H37" s="101">
        <v>5.9</v>
      </c>
      <c r="I37" s="101"/>
      <c r="Q37" s="30"/>
    </row>
    <row r="38" spans="5:37" ht="15.75" customHeight="1" x14ac:dyDescent="0.25">
      <c r="H38" s="101">
        <v>9.1</v>
      </c>
      <c r="I38" s="101"/>
    </row>
    <row r="39" spans="5:37" ht="15.75" customHeight="1" x14ac:dyDescent="0.25">
      <c r="H39" s="101">
        <v>2.7</v>
      </c>
    </row>
    <row r="40" spans="5:37" ht="15.75" customHeight="1" x14ac:dyDescent="0.25">
      <c r="H40" s="101">
        <v>6.3</v>
      </c>
    </row>
    <row r="41" spans="5:37" ht="15.75" customHeight="1" x14ac:dyDescent="0.25">
      <c r="H41" s="101">
        <v>3.8</v>
      </c>
    </row>
    <row r="42" spans="5:37" ht="15.75" customHeight="1" x14ac:dyDescent="0.25">
      <c r="H42" s="101"/>
    </row>
    <row r="43" spans="5:37" ht="15.75" customHeight="1" x14ac:dyDescent="0.25">
      <c r="H43" s="101"/>
    </row>
    <row r="44" spans="5:37" ht="15.75" customHeight="1" x14ac:dyDescent="0.25"/>
    <row r="45" spans="5:37" ht="15.75" customHeight="1" x14ac:dyDescent="0.25"/>
    <row r="46" spans="5:37" ht="15.75" customHeight="1" x14ac:dyDescent="0.25"/>
    <row r="47" spans="5:37" ht="15.75" customHeight="1" x14ac:dyDescent="0.25"/>
    <row r="48" spans="5:37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18">
    <mergeCell ref="AD4:AE4"/>
    <mergeCell ref="AB4:AC4"/>
    <mergeCell ref="Q1:X1"/>
    <mergeCell ref="AB1:AC1"/>
    <mergeCell ref="AD1:AE1"/>
    <mergeCell ref="Y1:AA1"/>
    <mergeCell ref="D26:E26"/>
    <mergeCell ref="G26:H26"/>
    <mergeCell ref="I1:K1"/>
    <mergeCell ref="L1:N1"/>
    <mergeCell ref="A1:F1"/>
    <mergeCell ref="G1:H1"/>
    <mergeCell ref="O1:P1"/>
    <mergeCell ref="AB9:AC9"/>
    <mergeCell ref="O6:P6"/>
    <mergeCell ref="O5:P5"/>
    <mergeCell ref="O4:P4"/>
    <mergeCell ref="O7:P7"/>
  </mergeCells>
  <pageMargins left="0.7" right="0.7" top="0.75" bottom="0.75" header="0" footer="0"/>
  <pageSetup orientation="landscape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B2A1C7"/>
  </sheetPr>
  <dimension ref="A1:AP102"/>
  <sheetViews>
    <sheetView topLeftCell="N1" workbookViewId="0">
      <pane ySplit="1" topLeftCell="A2" activePane="bottomLeft" state="frozen"/>
      <selection activeCell="N1" sqref="N1"/>
      <selection pane="bottomLeft" activeCell="B3" sqref="B3"/>
    </sheetView>
  </sheetViews>
  <sheetFormatPr defaultColWidth="14.42578125" defaultRowHeight="15" customHeight="1" x14ac:dyDescent="0.25"/>
  <cols>
    <col min="1" max="1" width="9.42578125" customWidth="1"/>
    <col min="2" max="2" width="7.7109375" customWidth="1"/>
    <col min="3" max="3" width="9.28515625" customWidth="1"/>
    <col min="4" max="5" width="8.28515625" customWidth="1"/>
    <col min="6" max="8" width="8" customWidth="1"/>
    <col min="9" max="9" width="8.28515625" customWidth="1"/>
    <col min="10" max="10" width="8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10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9.7109375" customWidth="1"/>
    <col min="21" max="21" width="8.28515625" customWidth="1"/>
    <col min="22" max="22" width="8" customWidth="1"/>
    <col min="23" max="25" width="8.28515625" customWidth="1"/>
    <col min="26" max="26" width="8" customWidth="1"/>
    <col min="27" max="27" width="8.28515625" customWidth="1"/>
    <col min="28" max="28" width="8" customWidth="1"/>
    <col min="29" max="29" width="9.28515625" customWidth="1"/>
    <col min="30" max="30" width="12.85546875" customWidth="1"/>
    <col min="31" max="31" width="12.7109375" customWidth="1"/>
    <col min="32" max="32" width="9.140625" customWidth="1"/>
    <col min="33" max="33" width="10.28515625" customWidth="1"/>
    <col min="34" max="34" width="14.28515625" customWidth="1"/>
    <col min="35" max="35" width="9.42578125" customWidth="1"/>
    <col min="36" max="36" width="12.42578125" customWidth="1"/>
    <col min="37" max="37" width="8.5703125" customWidth="1"/>
    <col min="38" max="38" width="11.28515625" customWidth="1"/>
    <col min="39" max="42" width="9.140625" customWidth="1"/>
  </cols>
  <sheetData>
    <row r="1" spans="1:42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33"/>
      <c r="Y1" s="1233"/>
      <c r="Z1" s="1220"/>
      <c r="AA1" s="1232" t="s">
        <v>43</v>
      </c>
      <c r="AB1" s="1233"/>
      <c r="AC1" s="1234"/>
      <c r="AD1" s="1219" t="s">
        <v>44</v>
      </c>
      <c r="AE1" s="1220"/>
      <c r="AF1" s="1243" t="s">
        <v>45</v>
      </c>
      <c r="AG1" s="1234"/>
      <c r="AH1" s="43"/>
      <c r="AI1" s="43"/>
      <c r="AJ1" s="44"/>
      <c r="AK1" s="44"/>
      <c r="AL1" s="44"/>
      <c r="AM1" s="44"/>
      <c r="AN1" s="43"/>
      <c r="AO1" s="43"/>
      <c r="AP1" s="43"/>
    </row>
    <row r="2" spans="1:42" ht="15.75" x14ac:dyDescent="0.25">
      <c r="A2" s="48" t="s">
        <v>46</v>
      </c>
      <c r="B2" s="276" t="s">
        <v>47</v>
      </c>
      <c r="C2" s="277" t="s">
        <v>48</v>
      </c>
      <c r="D2" s="48" t="s">
        <v>46</v>
      </c>
      <c r="E2" s="49" t="s">
        <v>47</v>
      </c>
      <c r="F2" s="276" t="s">
        <v>49</v>
      </c>
      <c r="G2" s="278" t="s">
        <v>49</v>
      </c>
      <c r="H2" s="279" t="s">
        <v>46</v>
      </c>
      <c r="I2" s="280" t="s">
        <v>49</v>
      </c>
      <c r="J2" s="281" t="s">
        <v>47</v>
      </c>
      <c r="K2" s="276" t="s">
        <v>46</v>
      </c>
      <c r="L2" s="280" t="s">
        <v>50</v>
      </c>
      <c r="M2" s="282" t="s">
        <v>51</v>
      </c>
      <c r="N2" s="276" t="s">
        <v>52</v>
      </c>
      <c r="O2" s="280" t="s">
        <v>53</v>
      </c>
      <c r="P2" s="277" t="s">
        <v>50</v>
      </c>
      <c r="Q2" s="283" t="s">
        <v>54</v>
      </c>
      <c r="R2" s="276" t="s">
        <v>47</v>
      </c>
      <c r="S2" s="283" t="s">
        <v>55</v>
      </c>
      <c r="T2" s="276" t="s">
        <v>47</v>
      </c>
      <c r="U2" s="283" t="s">
        <v>148</v>
      </c>
      <c r="V2" s="276" t="s">
        <v>47</v>
      </c>
      <c r="W2" s="45" t="s">
        <v>149</v>
      </c>
      <c r="X2" s="284" t="s">
        <v>47</v>
      </c>
      <c r="Y2" s="285" t="s">
        <v>150</v>
      </c>
      <c r="Z2" s="276" t="s">
        <v>47</v>
      </c>
      <c r="AA2" s="283" t="s">
        <v>50</v>
      </c>
      <c r="AB2" s="49" t="s">
        <v>13</v>
      </c>
      <c r="AC2" s="276" t="s">
        <v>52</v>
      </c>
      <c r="AD2" s="286" t="s">
        <v>50</v>
      </c>
      <c r="AE2" s="287" t="s">
        <v>52</v>
      </c>
      <c r="AF2" s="286" t="s">
        <v>50</v>
      </c>
      <c r="AG2" s="288" t="s">
        <v>52</v>
      </c>
      <c r="AJ2" s="30"/>
      <c r="AK2" s="30"/>
      <c r="AL2" s="30"/>
      <c r="AM2" s="30"/>
    </row>
    <row r="3" spans="1:42" x14ac:dyDescent="0.25">
      <c r="A3" s="289"/>
      <c r="B3" s="96"/>
      <c r="C3" s="290"/>
      <c r="D3" s="70"/>
      <c r="E3" s="71"/>
      <c r="F3" s="72">
        <v>50</v>
      </c>
      <c r="G3" s="73"/>
      <c r="H3" s="74"/>
      <c r="I3" s="86">
        <v>30</v>
      </c>
      <c r="J3" s="76"/>
      <c r="K3" s="74"/>
      <c r="L3" s="291"/>
      <c r="M3" s="371"/>
      <c r="N3" s="372"/>
      <c r="O3" s="80">
        <f>AC27-AG6-AE3</f>
        <v>293</v>
      </c>
      <c r="P3" s="294">
        <v>0</v>
      </c>
      <c r="Q3" s="84">
        <v>50</v>
      </c>
      <c r="R3" s="83">
        <v>43969</v>
      </c>
      <c r="S3" s="84">
        <v>50</v>
      </c>
      <c r="T3" s="85">
        <v>43973</v>
      </c>
      <c r="U3" s="86">
        <v>50</v>
      </c>
      <c r="V3" s="85">
        <v>43969</v>
      </c>
      <c r="W3" s="295">
        <v>300</v>
      </c>
      <c r="X3" s="296"/>
      <c r="Y3" s="133"/>
      <c r="Z3" s="83"/>
      <c r="AA3" s="297"/>
      <c r="AB3" s="89" t="s">
        <v>60</v>
      </c>
      <c r="AC3" s="373">
        <v>250</v>
      </c>
      <c r="AD3" s="299">
        <v>0</v>
      </c>
      <c r="AE3" s="300">
        <v>35</v>
      </c>
      <c r="AF3" s="301">
        <f>AD6+AF6</f>
        <v>0</v>
      </c>
      <c r="AG3" s="302">
        <f>AG6+AE6</f>
        <v>1772</v>
      </c>
      <c r="AJ3" s="30"/>
      <c r="AK3" s="30"/>
      <c r="AL3" s="30"/>
    </row>
    <row r="4" spans="1:42" ht="18.75" x14ac:dyDescent="0.25">
      <c r="A4" s="303"/>
      <c r="B4" s="96"/>
      <c r="C4" s="304"/>
      <c r="D4" s="98"/>
      <c r="E4" s="71"/>
      <c r="F4" s="99"/>
      <c r="G4" s="100"/>
      <c r="H4" s="101"/>
      <c r="I4" s="102"/>
      <c r="J4" s="76"/>
      <c r="K4" s="101"/>
      <c r="L4" s="305"/>
      <c r="M4" s="374"/>
      <c r="N4" s="150"/>
      <c r="O4" s="1223" t="s">
        <v>61</v>
      </c>
      <c r="P4" s="1224"/>
      <c r="Q4" s="118">
        <v>50</v>
      </c>
      <c r="R4" s="83">
        <v>43973</v>
      </c>
      <c r="S4" s="118">
        <v>100</v>
      </c>
      <c r="T4" s="85">
        <v>43982</v>
      </c>
      <c r="U4" s="108">
        <v>30</v>
      </c>
      <c r="V4" s="85">
        <v>43972</v>
      </c>
      <c r="W4" s="308">
        <v>200</v>
      </c>
      <c r="X4" s="83"/>
      <c r="Y4" s="133"/>
      <c r="Z4" s="83"/>
      <c r="AA4" s="309"/>
      <c r="AB4" s="89"/>
      <c r="AC4" s="329">
        <v>700</v>
      </c>
      <c r="AD4" s="1238" t="s">
        <v>63</v>
      </c>
      <c r="AE4" s="1245"/>
      <c r="AF4" s="1246" t="s">
        <v>64</v>
      </c>
      <c r="AG4" s="1237"/>
      <c r="AJ4" s="30"/>
      <c r="AK4" s="112"/>
      <c r="AL4" s="30"/>
    </row>
    <row r="5" spans="1:42" ht="15.75" x14ac:dyDescent="0.25">
      <c r="A5" s="303"/>
      <c r="B5" s="96"/>
      <c r="C5" s="304"/>
      <c r="D5" s="98"/>
      <c r="E5" s="71"/>
      <c r="F5" s="99"/>
      <c r="G5" s="100"/>
      <c r="H5" s="101"/>
      <c r="I5" s="102"/>
      <c r="J5" s="76"/>
      <c r="K5" s="101"/>
      <c r="L5" s="311"/>
      <c r="M5" s="330"/>
      <c r="N5" s="150"/>
      <c r="O5" s="1225">
        <f>AD9</f>
        <v>0</v>
      </c>
      <c r="P5" s="1226"/>
      <c r="Q5" s="118">
        <v>15</v>
      </c>
      <c r="R5" s="83"/>
      <c r="S5" s="118">
        <v>20</v>
      </c>
      <c r="T5" s="85"/>
      <c r="U5" s="108">
        <v>90</v>
      </c>
      <c r="V5" s="85"/>
      <c r="W5" s="308">
        <v>250</v>
      </c>
      <c r="X5" s="83" t="s">
        <v>154</v>
      </c>
      <c r="Y5" s="133"/>
      <c r="Z5" s="83"/>
      <c r="AA5" s="309"/>
      <c r="AB5" s="89"/>
      <c r="AC5" s="329">
        <v>1000</v>
      </c>
      <c r="AD5" s="119" t="s">
        <v>50</v>
      </c>
      <c r="AE5" s="313" t="s">
        <v>52</v>
      </c>
      <c r="AF5" s="121" t="s">
        <v>50</v>
      </c>
      <c r="AG5" s="122" t="s">
        <v>52</v>
      </c>
      <c r="AJ5" s="30"/>
      <c r="AK5" s="112"/>
      <c r="AL5" s="30"/>
    </row>
    <row r="6" spans="1:42" x14ac:dyDescent="0.25">
      <c r="A6" s="303"/>
      <c r="B6" s="96"/>
      <c r="C6" s="304"/>
      <c r="D6" s="98"/>
      <c r="E6" s="71"/>
      <c r="F6" s="99"/>
      <c r="G6" s="100"/>
      <c r="H6" s="101"/>
      <c r="I6" s="102"/>
      <c r="J6" s="76"/>
      <c r="K6" s="101"/>
      <c r="L6" s="311"/>
      <c r="M6" s="330"/>
      <c r="N6" s="150"/>
      <c r="O6" s="314"/>
      <c r="P6" s="315"/>
      <c r="Q6" s="118">
        <v>35</v>
      </c>
      <c r="R6" s="83"/>
      <c r="S6" s="118">
        <v>-50</v>
      </c>
      <c r="T6" s="85">
        <v>43989</v>
      </c>
      <c r="U6" s="108">
        <v>10</v>
      </c>
      <c r="V6" s="85">
        <v>43978</v>
      </c>
      <c r="W6" s="308"/>
      <c r="X6" s="83"/>
      <c r="Y6" s="133"/>
      <c r="Z6" s="83"/>
      <c r="AA6" s="309"/>
      <c r="AB6" s="89"/>
      <c r="AC6" s="329">
        <v>150</v>
      </c>
      <c r="AD6" s="316">
        <f>A27+L27</f>
        <v>0</v>
      </c>
      <c r="AE6" s="317">
        <f>D27+H27+K27+N27</f>
        <v>0</v>
      </c>
      <c r="AF6" s="128">
        <f>L27+C27</f>
        <v>0</v>
      </c>
      <c r="AG6" s="129">
        <f>F27+G27+I27+M27+Q27+S27+U27+W27+Y27</f>
        <v>1772</v>
      </c>
      <c r="AJ6" s="30"/>
      <c r="AK6" s="112"/>
      <c r="AL6" s="30"/>
    </row>
    <row r="7" spans="1:42" ht="18.75" x14ac:dyDescent="0.25">
      <c r="A7" s="303"/>
      <c r="B7" s="96"/>
      <c r="C7" s="304"/>
      <c r="D7" s="98"/>
      <c r="E7" s="71"/>
      <c r="F7" s="99"/>
      <c r="G7" s="100"/>
      <c r="H7" s="101"/>
      <c r="I7" s="108"/>
      <c r="J7" s="76"/>
      <c r="K7" s="101"/>
      <c r="L7" s="311"/>
      <c r="M7" s="330"/>
      <c r="N7" s="150"/>
      <c r="O7" s="144"/>
      <c r="P7" s="145"/>
      <c r="Q7" s="118">
        <v>100</v>
      </c>
      <c r="R7" s="83">
        <v>43982</v>
      </c>
      <c r="S7" s="118">
        <v>50</v>
      </c>
      <c r="T7" s="85">
        <v>43990</v>
      </c>
      <c r="U7" s="108">
        <v>20</v>
      </c>
      <c r="V7" s="85"/>
      <c r="W7" s="308"/>
      <c r="X7" s="83"/>
      <c r="Y7" s="133"/>
      <c r="Z7" s="83"/>
      <c r="AA7" s="309"/>
      <c r="AB7" s="89"/>
      <c r="AC7" s="329"/>
      <c r="AD7" s="320" t="s">
        <v>66</v>
      </c>
      <c r="AE7" s="321" t="s">
        <v>67</v>
      </c>
      <c r="AJ7" s="30"/>
      <c r="AK7" s="30"/>
      <c r="AL7" s="30"/>
    </row>
    <row r="8" spans="1:42" x14ac:dyDescent="0.25">
      <c r="A8" s="303"/>
      <c r="B8" s="96"/>
      <c r="C8" s="304"/>
      <c r="D8" s="98"/>
      <c r="E8" s="71"/>
      <c r="F8" s="99"/>
      <c r="G8" s="100"/>
      <c r="H8" s="101"/>
      <c r="I8" s="108"/>
      <c r="J8" s="76"/>
      <c r="K8" s="101"/>
      <c r="L8" s="311"/>
      <c r="M8" s="330"/>
      <c r="N8" s="150"/>
      <c r="O8" s="133"/>
      <c r="P8" s="134"/>
      <c r="Q8" s="118">
        <v>20</v>
      </c>
      <c r="R8" s="83">
        <v>43988</v>
      </c>
      <c r="S8" s="118"/>
      <c r="T8" s="85"/>
      <c r="U8" s="322">
        <v>32</v>
      </c>
      <c r="V8" s="323">
        <v>43980</v>
      </c>
      <c r="W8" s="324"/>
      <c r="X8" s="137"/>
      <c r="Y8" s="325"/>
      <c r="Z8" s="83"/>
      <c r="AA8" s="309"/>
      <c r="AB8" s="89"/>
      <c r="AC8" s="329"/>
      <c r="AD8" s="326">
        <v>0</v>
      </c>
      <c r="AE8" s="327">
        <f>E27</f>
        <v>0</v>
      </c>
      <c r="AJ8" s="30"/>
      <c r="AK8" s="30"/>
      <c r="AL8" s="30"/>
    </row>
    <row r="9" spans="1:42" x14ac:dyDescent="0.25">
      <c r="A9" s="303"/>
      <c r="B9" s="76"/>
      <c r="C9" s="328"/>
      <c r="D9" s="98"/>
      <c r="E9" s="71"/>
      <c r="F9" s="99"/>
      <c r="G9" s="100"/>
      <c r="H9" s="143"/>
      <c r="I9" s="108"/>
      <c r="J9" s="76"/>
      <c r="K9" s="101"/>
      <c r="L9" s="311"/>
      <c r="M9" s="330"/>
      <c r="N9" s="150"/>
      <c r="O9" s="144"/>
      <c r="P9" s="145"/>
      <c r="Q9" s="118">
        <v>100</v>
      </c>
      <c r="R9" s="83">
        <v>43990</v>
      </c>
      <c r="S9" s="118"/>
      <c r="T9" s="85"/>
      <c r="U9" s="108">
        <v>70</v>
      </c>
      <c r="V9" s="85"/>
      <c r="W9" s="308"/>
      <c r="X9" s="83"/>
      <c r="Y9" s="133"/>
      <c r="Z9" s="83"/>
      <c r="AA9" s="309"/>
      <c r="AB9" s="89"/>
      <c r="AC9" s="329"/>
      <c r="AD9" s="1244">
        <f>AD8-AE8</f>
        <v>0</v>
      </c>
      <c r="AE9" s="1222"/>
      <c r="AJ9" s="30"/>
      <c r="AK9" s="30"/>
      <c r="AL9" s="146"/>
    </row>
    <row r="10" spans="1:42" x14ac:dyDescent="0.25">
      <c r="A10" s="303"/>
      <c r="B10" s="76"/>
      <c r="C10" s="328"/>
      <c r="D10" s="98"/>
      <c r="E10" s="71"/>
      <c r="F10" s="99"/>
      <c r="G10" s="100"/>
      <c r="H10" s="101"/>
      <c r="I10" s="108"/>
      <c r="J10" s="76"/>
      <c r="K10" s="101"/>
      <c r="L10" s="311"/>
      <c r="M10" s="330"/>
      <c r="N10" s="150"/>
      <c r="O10" s="144"/>
      <c r="P10" s="145"/>
      <c r="Q10" s="118"/>
      <c r="R10" s="83"/>
      <c r="S10" s="118"/>
      <c r="T10" s="85"/>
      <c r="U10" s="108">
        <v>40</v>
      </c>
      <c r="V10" s="85"/>
      <c r="W10" s="308"/>
      <c r="X10" s="83"/>
      <c r="Y10" s="133"/>
      <c r="Z10" s="83"/>
      <c r="AA10" s="309"/>
      <c r="AB10" s="89"/>
      <c r="AC10" s="329"/>
      <c r="AJ10" s="30"/>
      <c r="AK10" s="30"/>
      <c r="AL10" s="30"/>
    </row>
    <row r="11" spans="1:42" x14ac:dyDescent="0.25">
      <c r="A11" s="303"/>
      <c r="B11" s="76"/>
      <c r="C11" s="328"/>
      <c r="D11" s="148"/>
      <c r="E11" s="71"/>
      <c r="F11" s="149"/>
      <c r="G11" s="100"/>
      <c r="H11" s="101"/>
      <c r="I11" s="108"/>
      <c r="J11" s="76"/>
      <c r="K11" s="101"/>
      <c r="L11" s="311"/>
      <c r="M11" s="330"/>
      <c r="N11" s="150"/>
      <c r="O11" s="144"/>
      <c r="P11" s="145"/>
      <c r="Q11" s="118"/>
      <c r="R11" s="83"/>
      <c r="S11" s="118"/>
      <c r="T11" s="85"/>
      <c r="U11" s="108">
        <v>60</v>
      </c>
      <c r="V11" s="85">
        <v>43990</v>
      </c>
      <c r="W11" s="308"/>
      <c r="X11" s="83"/>
      <c r="Y11" s="133"/>
      <c r="Z11" s="83"/>
      <c r="AA11" s="309"/>
      <c r="AB11" s="89"/>
      <c r="AC11" s="329"/>
      <c r="AJ11" s="30"/>
      <c r="AK11" s="30"/>
      <c r="AL11" s="30"/>
    </row>
    <row r="12" spans="1:42" x14ac:dyDescent="0.25">
      <c r="A12" s="303"/>
      <c r="B12" s="76"/>
      <c r="C12" s="328"/>
      <c r="D12" s="148"/>
      <c r="E12" s="71"/>
      <c r="F12" s="149"/>
      <c r="G12" s="100"/>
      <c r="H12" s="101"/>
      <c r="I12" s="108"/>
      <c r="J12" s="76"/>
      <c r="K12" s="101"/>
      <c r="L12" s="311"/>
      <c r="M12" s="330"/>
      <c r="N12" s="150"/>
      <c r="O12" s="144"/>
      <c r="P12" s="145"/>
      <c r="Q12" s="118"/>
      <c r="R12" s="83"/>
      <c r="S12" s="118"/>
      <c r="T12" s="85"/>
      <c r="U12" s="108"/>
      <c r="V12" s="85"/>
      <c r="W12" s="308"/>
      <c r="X12" s="83"/>
      <c r="Y12" s="133"/>
      <c r="Z12" s="83"/>
      <c r="AA12" s="309"/>
      <c r="AB12" s="89"/>
      <c r="AC12" s="329"/>
      <c r="AJ12" s="30"/>
      <c r="AK12" s="30"/>
      <c r="AL12" s="30"/>
    </row>
    <row r="13" spans="1:42" x14ac:dyDescent="0.25">
      <c r="A13" s="303"/>
      <c r="B13" s="76"/>
      <c r="C13" s="328"/>
      <c r="D13" s="152"/>
      <c r="E13" s="71"/>
      <c r="F13" s="149"/>
      <c r="G13" s="100"/>
      <c r="H13" s="101"/>
      <c r="I13" s="108"/>
      <c r="J13" s="76"/>
      <c r="K13" s="101"/>
      <c r="L13" s="311"/>
      <c r="M13" s="330"/>
      <c r="N13" s="150"/>
      <c r="O13" s="144"/>
      <c r="P13" s="145"/>
      <c r="Q13" s="118"/>
      <c r="R13" s="83"/>
      <c r="S13" s="118"/>
      <c r="T13" s="85"/>
      <c r="U13" s="108"/>
      <c r="V13" s="85"/>
      <c r="W13" s="308"/>
      <c r="X13" s="83"/>
      <c r="Y13" s="133"/>
      <c r="Z13" s="83"/>
      <c r="AA13" s="309"/>
      <c r="AB13" s="89"/>
      <c r="AC13" s="329"/>
      <c r="AD13" s="30"/>
      <c r="AE13" s="30"/>
      <c r="AF13" s="30"/>
      <c r="AG13" s="30"/>
      <c r="AI13" s="30"/>
      <c r="AJ13" s="30"/>
      <c r="AK13" s="30"/>
      <c r="AL13" s="30"/>
    </row>
    <row r="14" spans="1:42" x14ac:dyDescent="0.25">
      <c r="A14" s="303"/>
      <c r="B14" s="76"/>
      <c r="C14" s="328"/>
      <c r="D14" s="148"/>
      <c r="E14" s="71"/>
      <c r="F14" s="149"/>
      <c r="G14" s="100"/>
      <c r="H14" s="101"/>
      <c r="I14" s="108"/>
      <c r="J14" s="76"/>
      <c r="K14" s="101"/>
      <c r="L14" s="311"/>
      <c r="M14" s="330"/>
      <c r="N14" s="150"/>
      <c r="O14" s="144"/>
      <c r="P14" s="145"/>
      <c r="Q14" s="118"/>
      <c r="R14" s="83"/>
      <c r="S14" s="118"/>
      <c r="T14" s="85"/>
      <c r="U14" s="108"/>
      <c r="V14" s="85"/>
      <c r="W14" s="308"/>
      <c r="X14" s="83"/>
      <c r="Y14" s="133"/>
      <c r="Z14" s="83"/>
      <c r="AA14" s="309"/>
      <c r="AB14" s="89"/>
      <c r="AC14" s="329"/>
      <c r="AD14" s="30"/>
      <c r="AE14" s="30"/>
      <c r="AF14" s="30"/>
      <c r="AG14" s="30"/>
      <c r="AI14" s="30"/>
    </row>
    <row r="15" spans="1:42" x14ac:dyDescent="0.25">
      <c r="A15" s="303"/>
      <c r="B15" s="76"/>
      <c r="C15" s="328"/>
      <c r="D15" s="148"/>
      <c r="E15" s="71"/>
      <c r="F15" s="149"/>
      <c r="G15" s="100"/>
      <c r="H15" s="101"/>
      <c r="I15" s="108"/>
      <c r="J15" s="76"/>
      <c r="K15" s="101"/>
      <c r="L15" s="311"/>
      <c r="M15" s="330"/>
      <c r="N15" s="150"/>
      <c r="O15" s="144"/>
      <c r="P15" s="145"/>
      <c r="Q15" s="118"/>
      <c r="R15" s="83"/>
      <c r="S15" s="118"/>
      <c r="T15" s="85"/>
      <c r="U15" s="108"/>
      <c r="V15" s="85"/>
      <c r="W15" s="308"/>
      <c r="X15" s="83"/>
      <c r="Y15" s="133"/>
      <c r="Z15" s="83"/>
      <c r="AA15" s="309"/>
      <c r="AB15" s="89"/>
      <c r="AC15" s="329"/>
      <c r="AD15" s="30"/>
      <c r="AE15" s="30"/>
      <c r="AF15" s="30"/>
      <c r="AG15" s="30"/>
      <c r="AI15" s="30"/>
    </row>
    <row r="16" spans="1:42" x14ac:dyDescent="0.25">
      <c r="A16" s="303"/>
      <c r="B16" s="76"/>
      <c r="C16" s="328"/>
      <c r="D16" s="148"/>
      <c r="E16" s="71"/>
      <c r="F16" s="149"/>
      <c r="G16" s="100"/>
      <c r="H16" s="101"/>
      <c r="I16" s="108"/>
      <c r="J16" s="76"/>
      <c r="K16" s="101"/>
      <c r="L16" s="311"/>
      <c r="M16" s="330"/>
      <c r="N16" s="150"/>
      <c r="O16" s="144"/>
      <c r="P16" s="145"/>
      <c r="Q16" s="118"/>
      <c r="R16" s="83"/>
      <c r="S16" s="118"/>
      <c r="T16" s="85"/>
      <c r="U16" s="108"/>
      <c r="V16" s="85"/>
      <c r="W16" s="308"/>
      <c r="X16" s="83"/>
      <c r="Y16" s="133"/>
      <c r="Z16" s="83"/>
      <c r="AA16" s="309"/>
      <c r="AB16" s="89"/>
      <c r="AC16" s="329"/>
      <c r="AD16" s="30"/>
      <c r="AE16" s="30"/>
      <c r="AF16" s="30"/>
      <c r="AG16" s="30"/>
      <c r="AI16" s="30"/>
    </row>
    <row r="17" spans="1:39" x14ac:dyDescent="0.25">
      <c r="A17" s="303"/>
      <c r="B17" s="76"/>
      <c r="C17" s="328"/>
      <c r="D17" s="148"/>
      <c r="E17" s="71"/>
      <c r="F17" s="149"/>
      <c r="G17" s="100"/>
      <c r="H17" s="101"/>
      <c r="I17" s="108"/>
      <c r="J17" s="76"/>
      <c r="K17" s="101"/>
      <c r="L17" s="311"/>
      <c r="M17" s="330"/>
      <c r="N17" s="150"/>
      <c r="O17" s="144"/>
      <c r="P17" s="145"/>
      <c r="Q17" s="118"/>
      <c r="R17" s="83"/>
      <c r="S17" s="118"/>
      <c r="T17" s="85"/>
      <c r="U17" s="108"/>
      <c r="V17" s="85"/>
      <c r="W17" s="308"/>
      <c r="X17" s="83"/>
      <c r="Y17" s="133"/>
      <c r="Z17" s="83"/>
      <c r="AA17" s="309"/>
      <c r="AB17" s="89"/>
      <c r="AC17" s="329"/>
      <c r="AD17" s="30"/>
      <c r="AE17" s="30"/>
      <c r="AF17" s="30"/>
      <c r="AG17" s="30"/>
      <c r="AI17" s="30"/>
    </row>
    <row r="18" spans="1:39" x14ac:dyDescent="0.25">
      <c r="A18" s="303"/>
      <c r="B18" s="76"/>
      <c r="C18" s="328"/>
      <c r="D18" s="148"/>
      <c r="E18" s="71"/>
      <c r="F18" s="149"/>
      <c r="G18" s="100"/>
      <c r="H18" s="101"/>
      <c r="I18" s="108"/>
      <c r="J18" s="76"/>
      <c r="K18" s="101"/>
      <c r="L18" s="311"/>
      <c r="M18" s="330"/>
      <c r="N18" s="329"/>
      <c r="O18" s="144"/>
      <c r="P18" s="145"/>
      <c r="Q18" s="118"/>
      <c r="R18" s="83"/>
      <c r="S18" s="118"/>
      <c r="T18" s="85"/>
      <c r="U18" s="108"/>
      <c r="V18" s="85"/>
      <c r="W18" s="308"/>
      <c r="X18" s="83"/>
      <c r="Y18" s="133"/>
      <c r="Z18" s="83"/>
      <c r="AA18" s="309"/>
      <c r="AB18" s="89"/>
      <c r="AC18" s="329"/>
      <c r="AD18" s="30"/>
      <c r="AE18" s="30"/>
      <c r="AF18" s="30"/>
      <c r="AG18" s="30"/>
      <c r="AI18" s="30"/>
    </row>
    <row r="19" spans="1:39" x14ac:dyDescent="0.25">
      <c r="A19" s="303"/>
      <c r="B19" s="76"/>
      <c r="C19" s="328"/>
      <c r="D19" s="148"/>
      <c r="E19" s="71"/>
      <c r="F19" s="149"/>
      <c r="G19" s="100"/>
      <c r="H19" s="101"/>
      <c r="I19" s="108"/>
      <c r="J19" s="76"/>
      <c r="K19" s="101"/>
      <c r="L19" s="311"/>
      <c r="M19" s="330"/>
      <c r="N19" s="329"/>
      <c r="O19" s="144"/>
      <c r="P19" s="145"/>
      <c r="Q19" s="118"/>
      <c r="R19" s="83"/>
      <c r="S19" s="118"/>
      <c r="T19" s="85"/>
      <c r="U19" s="108"/>
      <c r="V19" s="85"/>
      <c r="W19" s="308"/>
      <c r="X19" s="83"/>
      <c r="Y19" s="133"/>
      <c r="Z19" s="83"/>
      <c r="AA19" s="309"/>
      <c r="AB19" s="89"/>
      <c r="AC19" s="329"/>
      <c r="AD19" s="30"/>
      <c r="AE19" s="30"/>
      <c r="AF19" s="30"/>
      <c r="AG19" s="30"/>
      <c r="AI19" s="30"/>
    </row>
    <row r="20" spans="1:39" x14ac:dyDescent="0.25">
      <c r="A20" s="303"/>
      <c r="B20" s="76"/>
      <c r="C20" s="328"/>
      <c r="D20" s="148"/>
      <c r="E20" s="71"/>
      <c r="F20" s="149"/>
      <c r="G20" s="100"/>
      <c r="H20" s="101"/>
      <c r="I20" s="108"/>
      <c r="J20" s="76"/>
      <c r="K20" s="101"/>
      <c r="L20" s="311"/>
      <c r="M20" s="116"/>
      <c r="N20" s="329"/>
      <c r="O20" s="144"/>
      <c r="P20" s="145"/>
      <c r="Q20" s="118"/>
      <c r="R20" s="83"/>
      <c r="S20" s="118"/>
      <c r="T20" s="85"/>
      <c r="U20" s="108"/>
      <c r="V20" s="85"/>
      <c r="W20" s="308"/>
      <c r="X20" s="83"/>
      <c r="Y20" s="133"/>
      <c r="Z20" s="83"/>
      <c r="AA20" s="309"/>
      <c r="AB20" s="89"/>
      <c r="AC20" s="329"/>
      <c r="AD20" s="30"/>
      <c r="AE20" s="30"/>
      <c r="AF20" s="30"/>
      <c r="AG20" s="30"/>
      <c r="AI20" s="30"/>
    </row>
    <row r="21" spans="1:39" ht="15.75" customHeight="1" x14ac:dyDescent="0.25">
      <c r="A21" s="303"/>
      <c r="B21" s="76"/>
      <c r="C21" s="328"/>
      <c r="D21" s="148"/>
      <c r="E21" s="71"/>
      <c r="F21" s="149"/>
      <c r="G21" s="100"/>
      <c r="H21" s="101"/>
      <c r="I21" s="108"/>
      <c r="J21" s="76"/>
      <c r="K21" s="101"/>
      <c r="L21" s="311"/>
      <c r="M21" s="116"/>
      <c r="N21" s="329"/>
      <c r="O21" s="144"/>
      <c r="P21" s="145"/>
      <c r="Q21" s="118"/>
      <c r="R21" s="83"/>
      <c r="S21" s="118"/>
      <c r="T21" s="85"/>
      <c r="U21" s="108"/>
      <c r="V21" s="85"/>
      <c r="W21" s="308"/>
      <c r="X21" s="83"/>
      <c r="Y21" s="133"/>
      <c r="Z21" s="83"/>
      <c r="AA21" s="309"/>
      <c r="AB21" s="89"/>
      <c r="AC21" s="329"/>
      <c r="AD21" s="30"/>
      <c r="AE21" s="30"/>
      <c r="AF21" s="30"/>
      <c r="AG21" s="30"/>
      <c r="AI21" s="30"/>
    </row>
    <row r="22" spans="1:39" ht="15.75" customHeight="1" x14ac:dyDescent="0.25">
      <c r="A22" s="303"/>
      <c r="B22" s="76"/>
      <c r="C22" s="328"/>
      <c r="D22" s="148"/>
      <c r="E22" s="71"/>
      <c r="F22" s="149"/>
      <c r="G22" s="100"/>
      <c r="H22" s="101"/>
      <c r="I22" s="108"/>
      <c r="J22" s="76"/>
      <c r="K22" s="101"/>
      <c r="L22" s="311"/>
      <c r="M22" s="116"/>
      <c r="N22" s="329"/>
      <c r="O22" s="144"/>
      <c r="P22" s="145"/>
      <c r="Q22" s="118"/>
      <c r="R22" s="83"/>
      <c r="S22" s="118"/>
      <c r="T22" s="85"/>
      <c r="U22" s="108"/>
      <c r="V22" s="85"/>
      <c r="W22" s="308"/>
      <c r="X22" s="83"/>
      <c r="Y22" s="133"/>
      <c r="Z22" s="83"/>
      <c r="AA22" s="309"/>
      <c r="AB22" s="89"/>
      <c r="AC22" s="329"/>
      <c r="AD22" s="30"/>
      <c r="AE22" s="30"/>
      <c r="AF22" s="30"/>
      <c r="AG22" s="30"/>
      <c r="AI22" s="30"/>
    </row>
    <row r="23" spans="1:39" ht="15.75" customHeight="1" x14ac:dyDescent="0.25">
      <c r="A23" s="303"/>
      <c r="B23" s="76"/>
      <c r="C23" s="328"/>
      <c r="D23" s="148"/>
      <c r="E23" s="71"/>
      <c r="F23" s="149"/>
      <c r="G23" s="100"/>
      <c r="H23" s="101"/>
      <c r="I23" s="108"/>
      <c r="J23" s="76"/>
      <c r="K23" s="101"/>
      <c r="L23" s="311"/>
      <c r="M23" s="116"/>
      <c r="N23" s="329"/>
      <c r="O23" s="144"/>
      <c r="P23" s="145"/>
      <c r="Q23" s="118"/>
      <c r="R23" s="83"/>
      <c r="S23" s="118"/>
      <c r="T23" s="85"/>
      <c r="U23" s="108"/>
      <c r="V23" s="85"/>
      <c r="W23" s="308"/>
      <c r="X23" s="83"/>
      <c r="Y23" s="133"/>
      <c r="Z23" s="83"/>
      <c r="AA23" s="309"/>
      <c r="AB23" s="89"/>
      <c r="AC23" s="329"/>
      <c r="AD23" s="30"/>
      <c r="AE23" s="30"/>
      <c r="AF23" s="30"/>
      <c r="AG23" s="30"/>
      <c r="AI23" s="30"/>
    </row>
    <row r="24" spans="1:39" ht="15.75" customHeight="1" x14ac:dyDescent="0.25">
      <c r="A24" s="303"/>
      <c r="B24" s="76"/>
      <c r="C24" s="328"/>
      <c r="D24" s="148"/>
      <c r="E24" s="71"/>
      <c r="F24" s="149"/>
      <c r="G24" s="100"/>
      <c r="H24" s="101"/>
      <c r="I24" s="108"/>
      <c r="J24" s="76"/>
      <c r="K24" s="101"/>
      <c r="L24" s="311"/>
      <c r="M24" s="116"/>
      <c r="N24" s="329"/>
      <c r="O24" s="144"/>
      <c r="P24" s="145"/>
      <c r="Q24" s="118"/>
      <c r="R24" s="83"/>
      <c r="S24" s="118"/>
      <c r="T24" s="85"/>
      <c r="U24" s="108"/>
      <c r="V24" s="85"/>
      <c r="W24" s="308"/>
      <c r="X24" s="83"/>
      <c r="Y24" s="133"/>
      <c r="Z24" s="83"/>
      <c r="AA24" s="309"/>
      <c r="AB24" s="89"/>
      <c r="AC24" s="329"/>
      <c r="AD24" s="30"/>
      <c r="AE24" s="30"/>
      <c r="AF24" s="30"/>
      <c r="AG24" s="30"/>
      <c r="AI24" s="30"/>
    </row>
    <row r="25" spans="1:39" ht="15.75" customHeight="1" x14ac:dyDescent="0.25">
      <c r="A25" s="331"/>
      <c r="B25" s="159"/>
      <c r="C25" s="332"/>
      <c r="D25" s="161"/>
      <c r="E25" s="333"/>
      <c r="F25" s="163"/>
      <c r="G25" s="164"/>
      <c r="H25" s="117"/>
      <c r="I25" s="334"/>
      <c r="J25" s="159"/>
      <c r="K25" s="117"/>
      <c r="L25" s="335"/>
      <c r="M25" s="336"/>
      <c r="N25" s="337"/>
      <c r="O25" s="169"/>
      <c r="P25" s="170"/>
      <c r="Q25" s="172"/>
      <c r="R25" s="338"/>
      <c r="S25" s="172"/>
      <c r="T25" s="39"/>
      <c r="U25" s="334"/>
      <c r="V25" s="39"/>
      <c r="W25" s="339"/>
      <c r="X25" s="173"/>
      <c r="Y25" s="340"/>
      <c r="Z25" s="173"/>
      <c r="AA25" s="341"/>
      <c r="AB25" s="176"/>
      <c r="AC25" s="342"/>
      <c r="AD25" s="30"/>
      <c r="AE25" s="30"/>
      <c r="AF25" s="30"/>
      <c r="AG25" s="30"/>
      <c r="AI25" s="30"/>
    </row>
    <row r="26" spans="1:39" ht="15.75" customHeight="1" x14ac:dyDescent="0.25">
      <c r="A26" s="1249" t="s">
        <v>102</v>
      </c>
      <c r="B26" s="1250"/>
      <c r="C26" s="1251"/>
      <c r="D26" s="343" t="s">
        <v>103</v>
      </c>
      <c r="E26" s="343" t="s">
        <v>61</v>
      </c>
      <c r="F26" s="344" t="s">
        <v>103</v>
      </c>
      <c r="G26" s="1252" t="s">
        <v>103</v>
      </c>
      <c r="H26" s="1251"/>
      <c r="I26" s="1252" t="s">
        <v>102</v>
      </c>
      <c r="J26" s="1250"/>
      <c r="K26" s="1251"/>
      <c r="L26" s="1253" t="s">
        <v>102</v>
      </c>
      <c r="M26" s="1250"/>
      <c r="N26" s="1251"/>
      <c r="O26" s="1252" t="s">
        <v>104</v>
      </c>
      <c r="P26" s="1251"/>
      <c r="Q26" s="1252" t="s">
        <v>104</v>
      </c>
      <c r="R26" s="1251"/>
      <c r="S26" s="1252" t="s">
        <v>104</v>
      </c>
      <c r="T26" s="1251"/>
      <c r="U26" s="1252" t="s">
        <v>104</v>
      </c>
      <c r="V26" s="1251"/>
      <c r="W26" s="1254" t="s">
        <v>102</v>
      </c>
      <c r="X26" s="1255"/>
      <c r="Y26" s="1256" t="s">
        <v>102</v>
      </c>
      <c r="Z26" s="1255"/>
      <c r="AA26" s="1240" t="s">
        <v>102</v>
      </c>
      <c r="AB26" s="1241"/>
      <c r="AC26" s="1242"/>
      <c r="AE26" s="30"/>
      <c r="AF26" s="30"/>
      <c r="AG26" s="30"/>
      <c r="AI26" s="30"/>
    </row>
    <row r="27" spans="1:39" ht="15.75" customHeight="1" x14ac:dyDescent="0.25">
      <c r="A27" s="345">
        <f>SUM(A3:A25)</f>
        <v>0</v>
      </c>
      <c r="B27" s="346"/>
      <c r="C27" s="196">
        <f t="shared" ref="C27:D27" si="0">SUM(C3:C25)</f>
        <v>0</v>
      </c>
      <c r="D27" s="197">
        <f t="shared" si="0"/>
        <v>0</v>
      </c>
      <c r="E27" s="203">
        <v>0</v>
      </c>
      <c r="F27" s="347">
        <f t="shared" ref="F27:I27" si="1">SUM(F3:F25)</f>
        <v>50</v>
      </c>
      <c r="G27" s="197">
        <f t="shared" si="1"/>
        <v>0</v>
      </c>
      <c r="H27" s="199">
        <f t="shared" si="1"/>
        <v>0</v>
      </c>
      <c r="I27" s="197">
        <f t="shared" si="1"/>
        <v>30</v>
      </c>
      <c r="J27" s="348"/>
      <c r="K27" s="349">
        <f t="shared" ref="K27:L27" si="2">SUM(K3:K25)</f>
        <v>0</v>
      </c>
      <c r="L27" s="350">
        <f t="shared" si="2"/>
        <v>0</v>
      </c>
      <c r="M27" s="424">
        <f>N3+N4+N5+N6+N13+N14+N15+N16+N17</f>
        <v>0</v>
      </c>
      <c r="N27" s="197">
        <f>N7+N8+N9+N10+N11+N12</f>
        <v>0</v>
      </c>
      <c r="O27" s="353">
        <f>O3+O5</f>
        <v>293</v>
      </c>
      <c r="P27" s="354">
        <f>P3</f>
        <v>0</v>
      </c>
      <c r="Q27" s="203">
        <f>SUM(Q3:Q25)</f>
        <v>370</v>
      </c>
      <c r="R27" s="355">
        <v>0</v>
      </c>
      <c r="S27" s="203">
        <f>SUM(S3:S25)</f>
        <v>170</v>
      </c>
      <c r="T27" s="356">
        <v>0</v>
      </c>
      <c r="U27" s="357">
        <f>SUM(U3:U25)</f>
        <v>402</v>
      </c>
      <c r="V27" s="356">
        <v>850</v>
      </c>
      <c r="W27" s="1247">
        <f>SUM(W3:W25)</f>
        <v>750</v>
      </c>
      <c r="X27" s="1248"/>
      <c r="Y27" s="1247">
        <f>SUM(Y3:Y25)</f>
        <v>0</v>
      </c>
      <c r="Z27" s="1248"/>
      <c r="AA27" s="358">
        <f>SUM(AA3:AA25)</f>
        <v>0</v>
      </c>
      <c r="AB27" s="359"/>
      <c r="AC27" s="360">
        <f>SUM(AC3:AC25)</f>
        <v>2100</v>
      </c>
      <c r="AE27" s="30"/>
      <c r="AF27" s="30"/>
      <c r="AG27" s="30"/>
      <c r="AI27" s="30"/>
    </row>
    <row r="28" spans="1:39" ht="15.75" customHeight="1" x14ac:dyDescent="0.25">
      <c r="U28">
        <v>550</v>
      </c>
      <c r="V28" t="s">
        <v>105</v>
      </c>
      <c r="AE28" s="30"/>
      <c r="AF28" s="30"/>
      <c r="AG28" s="30"/>
      <c r="AI28" s="30"/>
    </row>
    <row r="29" spans="1:39" ht="15.75" customHeight="1" x14ac:dyDescent="0.25">
      <c r="U29">
        <v>100</v>
      </c>
      <c r="V29" t="s">
        <v>126</v>
      </c>
      <c r="AE29" s="30"/>
      <c r="AF29" s="30"/>
      <c r="AG29" s="30"/>
      <c r="AI29" s="30"/>
    </row>
    <row r="30" spans="1:39" ht="15.75" customHeight="1" x14ac:dyDescent="0.25">
      <c r="E30" s="30"/>
      <c r="F30" s="30"/>
      <c r="G30" s="30"/>
      <c r="M30" s="30"/>
      <c r="P30" s="30"/>
      <c r="R30" s="30"/>
      <c r="T30" s="30"/>
      <c r="U30" s="30"/>
      <c r="AF30" s="30"/>
      <c r="AG30" s="30"/>
      <c r="AI30" s="30"/>
      <c r="AJ30" s="30"/>
      <c r="AK30" s="30"/>
      <c r="AM30" s="30"/>
    </row>
    <row r="31" spans="1:39" ht="15.75" customHeight="1" x14ac:dyDescent="0.25">
      <c r="E31" s="30"/>
      <c r="F31" s="30"/>
      <c r="G31" s="30"/>
      <c r="J31" s="30"/>
      <c r="K31" s="30"/>
      <c r="L31" s="30"/>
      <c r="M31" s="30"/>
      <c r="P31" s="30"/>
      <c r="R31" s="30"/>
      <c r="T31" s="30"/>
      <c r="U31" s="361"/>
      <c r="AF31" s="30"/>
      <c r="AG31" s="30"/>
      <c r="AI31" s="30"/>
      <c r="AJ31" s="30"/>
      <c r="AK31" s="30"/>
      <c r="AM31" s="30"/>
    </row>
    <row r="32" spans="1:39" ht="15.75" customHeight="1" x14ac:dyDescent="0.25">
      <c r="E32" s="30"/>
      <c r="F32" s="30"/>
      <c r="G32" s="30"/>
      <c r="J32" s="30"/>
      <c r="K32" s="30"/>
      <c r="L32" s="30"/>
      <c r="M32" s="30"/>
      <c r="P32" s="30"/>
      <c r="R32" s="30"/>
      <c r="T32" s="30"/>
      <c r="U32" s="30"/>
      <c r="AF32" s="30"/>
      <c r="AG32" s="30"/>
      <c r="AI32" s="30"/>
      <c r="AJ32" s="30"/>
      <c r="AK32" s="30"/>
      <c r="AM32" s="30"/>
    </row>
    <row r="33" spans="5:39" ht="15.75" customHeight="1" x14ac:dyDescent="0.25">
      <c r="E33" s="30"/>
      <c r="F33" s="30"/>
      <c r="G33" s="30"/>
      <c r="J33" s="30"/>
      <c r="K33" s="30"/>
      <c r="L33" s="30"/>
      <c r="M33" s="30"/>
      <c r="P33" s="30"/>
      <c r="Q33" s="30"/>
      <c r="R33" s="30"/>
      <c r="T33" s="30"/>
      <c r="U33" s="30"/>
      <c r="AF33" s="30"/>
      <c r="AG33" s="30"/>
      <c r="AI33" s="30"/>
      <c r="AJ33" s="30"/>
      <c r="AK33" s="30"/>
      <c r="AM33" s="30"/>
    </row>
    <row r="34" spans="5:39" ht="15.75" customHeight="1" x14ac:dyDescent="0.25">
      <c r="E34" s="30"/>
      <c r="F34" s="30"/>
      <c r="G34" s="30"/>
      <c r="J34" s="30"/>
      <c r="K34" s="30"/>
      <c r="L34" s="30"/>
      <c r="M34" s="30"/>
      <c r="P34" s="30"/>
      <c r="Q34" s="30"/>
      <c r="R34" s="30"/>
      <c r="T34" s="30"/>
      <c r="U34" s="30"/>
      <c r="AF34" s="30"/>
      <c r="AG34" s="30"/>
      <c r="AI34" s="30"/>
      <c r="AJ34" s="30"/>
      <c r="AK34" s="30"/>
      <c r="AM34" s="30"/>
    </row>
    <row r="35" spans="5:39" ht="15.75" customHeight="1" x14ac:dyDescent="0.25">
      <c r="E35" s="30"/>
      <c r="F35" s="30"/>
      <c r="G35" s="30"/>
      <c r="J35" s="30"/>
      <c r="K35" s="30"/>
      <c r="L35" s="30"/>
      <c r="M35" s="30"/>
      <c r="P35" s="30"/>
      <c r="Q35" s="30"/>
      <c r="R35" s="30"/>
      <c r="T35" s="30"/>
      <c r="U35" s="30"/>
      <c r="AF35" s="30"/>
      <c r="AG35" s="30"/>
      <c r="AI35" s="30"/>
      <c r="AJ35" s="30"/>
      <c r="AK35" s="30"/>
      <c r="AM35" s="30"/>
    </row>
    <row r="36" spans="5:39" ht="15.75" customHeight="1" x14ac:dyDescent="0.25">
      <c r="Q36" s="30"/>
    </row>
    <row r="37" spans="5:39" ht="15.75" customHeight="1" x14ac:dyDescent="0.25">
      <c r="Q37" s="30"/>
    </row>
    <row r="38" spans="5:39" ht="15.75" customHeight="1" x14ac:dyDescent="0.25"/>
    <row r="39" spans="5:39" ht="15.75" customHeight="1" x14ac:dyDescent="0.25"/>
    <row r="40" spans="5:39" ht="15.75" customHeight="1" x14ac:dyDescent="0.25"/>
    <row r="41" spans="5:39" ht="15.75" customHeight="1" x14ac:dyDescent="0.25"/>
    <row r="42" spans="5:39" ht="15.75" customHeight="1" x14ac:dyDescent="0.25"/>
    <row r="43" spans="5:39" ht="15.75" customHeight="1" x14ac:dyDescent="0.25"/>
    <row r="44" spans="5:39" ht="15.75" customHeight="1" x14ac:dyDescent="0.25"/>
    <row r="45" spans="5:39" ht="15.75" customHeight="1" x14ac:dyDescent="0.25"/>
    <row r="46" spans="5:39" ht="15.75" customHeight="1" x14ac:dyDescent="0.25"/>
    <row r="47" spans="5:39" ht="15.75" customHeight="1" x14ac:dyDescent="0.25"/>
    <row r="48" spans="5:3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27">
    <mergeCell ref="AA1:AC1"/>
    <mergeCell ref="O4:P4"/>
    <mergeCell ref="A1:F1"/>
    <mergeCell ref="G1:H1"/>
    <mergeCell ref="I1:K1"/>
    <mergeCell ref="L1:N1"/>
    <mergeCell ref="A26:C26"/>
    <mergeCell ref="G26:H26"/>
    <mergeCell ref="I26:K26"/>
    <mergeCell ref="L26:N26"/>
    <mergeCell ref="O26:P26"/>
    <mergeCell ref="AF4:AG4"/>
    <mergeCell ref="Q1:Z1"/>
    <mergeCell ref="W27:X27"/>
    <mergeCell ref="Y27:Z27"/>
    <mergeCell ref="O5:P5"/>
    <mergeCell ref="AA26:AC26"/>
    <mergeCell ref="AD1:AE1"/>
    <mergeCell ref="AF1:AG1"/>
    <mergeCell ref="AD4:AE4"/>
    <mergeCell ref="AD9:AE9"/>
    <mergeCell ref="Q26:R26"/>
    <mergeCell ref="S26:T26"/>
    <mergeCell ref="U26:V26"/>
    <mergeCell ref="W26:X26"/>
    <mergeCell ref="Y26:Z26"/>
    <mergeCell ref="O1:P1"/>
  </mergeCells>
  <pageMargins left="0.7" right="0.7" top="0.75" bottom="0.75" header="0" footer="0"/>
  <pageSetup orientation="landscape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0000"/>
  </sheetPr>
  <dimension ref="A1:U100"/>
  <sheetViews>
    <sheetView topLeftCell="I1" workbookViewId="0"/>
  </sheetViews>
  <sheetFormatPr defaultColWidth="14.42578125" defaultRowHeight="15" customHeight="1" x14ac:dyDescent="0.25"/>
  <cols>
    <col min="1" max="1" width="13.140625" customWidth="1"/>
    <col min="2" max="2" width="8.42578125" customWidth="1"/>
    <col min="3" max="3" width="8" customWidth="1"/>
    <col min="4" max="4" width="8.5703125" customWidth="1"/>
    <col min="5" max="5" width="14.28515625" customWidth="1"/>
    <col min="6" max="6" width="12.7109375" customWidth="1"/>
    <col min="7" max="7" width="21.28515625" customWidth="1"/>
    <col min="8" max="8" width="12.28515625" customWidth="1"/>
    <col min="9" max="9" width="17.7109375" customWidth="1"/>
    <col min="10" max="10" width="15.42578125" customWidth="1"/>
    <col min="11" max="11" width="13.5703125" customWidth="1"/>
    <col min="12" max="12" width="11.42578125" customWidth="1"/>
    <col min="13" max="14" width="21.140625" customWidth="1"/>
    <col min="15" max="15" width="24.85546875" customWidth="1"/>
    <col min="16" max="16" width="21.140625" customWidth="1"/>
    <col min="17" max="17" width="21.7109375" customWidth="1"/>
    <col min="18" max="19" width="12.5703125" customWidth="1"/>
  </cols>
  <sheetData>
    <row r="1" spans="1:20" ht="18.75" x14ac:dyDescent="0.25">
      <c r="A1" s="1" t="s">
        <v>0</v>
      </c>
      <c r="B1" s="1" t="s">
        <v>1</v>
      </c>
      <c r="C1" s="1" t="s">
        <v>127</v>
      </c>
      <c r="D1" s="5" t="s">
        <v>128</v>
      </c>
      <c r="E1" s="2" t="s">
        <v>3</v>
      </c>
      <c r="F1" s="2" t="s">
        <v>4</v>
      </c>
      <c r="G1" s="2" t="s">
        <v>5</v>
      </c>
      <c r="H1" s="2" t="s">
        <v>6</v>
      </c>
      <c r="I1" s="2" t="s">
        <v>7</v>
      </c>
      <c r="J1" s="2" t="s">
        <v>5</v>
      </c>
      <c r="K1" s="362" t="s">
        <v>8</v>
      </c>
      <c r="L1" s="382" t="s">
        <v>129</v>
      </c>
      <c r="M1" s="4" t="s">
        <v>9</v>
      </c>
      <c r="N1" s="425" t="s">
        <v>155</v>
      </c>
      <c r="O1" s="5" t="s">
        <v>10</v>
      </c>
      <c r="P1" s="6" t="s">
        <v>11</v>
      </c>
      <c r="Q1" s="7" t="s">
        <v>12</v>
      </c>
      <c r="R1" s="7" t="s">
        <v>13</v>
      </c>
      <c r="S1" s="3" t="s">
        <v>14</v>
      </c>
    </row>
    <row r="2" spans="1:20" x14ac:dyDescent="0.25">
      <c r="A2" s="214">
        <v>44013</v>
      </c>
      <c r="B2" s="215" t="str">
        <f t="shared" ref="B2:B32" si="0">CHOOSE(WEEKDAY(T2),"Po","Út","St","Čt","Pá","So","Ne")</f>
        <v>St</v>
      </c>
      <c r="C2" s="216">
        <v>10</v>
      </c>
      <c r="D2" s="216">
        <f t="shared" ref="D2:D32" si="1">L2*C2</f>
        <v>40</v>
      </c>
      <c r="E2" s="217" t="s">
        <v>169</v>
      </c>
      <c r="F2" s="218" t="s">
        <v>170</v>
      </c>
      <c r="G2" s="219" t="s">
        <v>171</v>
      </c>
      <c r="H2" s="220" t="s">
        <v>112</v>
      </c>
      <c r="I2" s="218" t="s">
        <v>172</v>
      </c>
      <c r="J2" s="221" t="s">
        <v>15</v>
      </c>
      <c r="K2" s="222" t="s">
        <v>16</v>
      </c>
      <c r="L2" s="394">
        <v>4</v>
      </c>
      <c r="M2" s="223">
        <f t="shared" ref="M2:N2" si="2">M4+M6</f>
        <v>226.5</v>
      </c>
      <c r="N2" s="433">
        <f t="shared" si="2"/>
        <v>235.5</v>
      </c>
      <c r="O2" s="8">
        <v>18199</v>
      </c>
      <c r="P2" s="9" t="s">
        <v>17</v>
      </c>
      <c r="Q2" s="10" t="s">
        <v>173</v>
      </c>
      <c r="R2" s="11">
        <v>44028</v>
      </c>
      <c r="S2" s="12">
        <f>R7*20</f>
        <v>0</v>
      </c>
      <c r="T2" s="13">
        <f t="shared" ref="T2:T32" si="3">WEEKDAY(A2,2)</f>
        <v>3</v>
      </c>
    </row>
    <row r="3" spans="1:20" x14ac:dyDescent="0.25">
      <c r="A3" s="214">
        <v>44014</v>
      </c>
      <c r="B3" s="225" t="str">
        <f t="shared" si="0"/>
        <v>Čt</v>
      </c>
      <c r="C3" s="226">
        <v>11</v>
      </c>
      <c r="D3" s="216">
        <f t="shared" si="1"/>
        <v>44</v>
      </c>
      <c r="E3" s="227" t="s">
        <v>174</v>
      </c>
      <c r="F3" s="228"/>
      <c r="G3" s="229" t="s">
        <v>171</v>
      </c>
      <c r="H3" s="230" t="s">
        <v>112</v>
      </c>
      <c r="I3" s="218" t="s">
        <v>172</v>
      </c>
      <c r="J3" s="231" t="s">
        <v>15</v>
      </c>
      <c r="K3" s="232" t="s">
        <v>16</v>
      </c>
      <c r="L3" s="400">
        <v>4</v>
      </c>
      <c r="M3" s="15" t="s">
        <v>19</v>
      </c>
      <c r="N3" s="434" t="s">
        <v>19</v>
      </c>
      <c r="O3" s="17"/>
      <c r="P3" s="18" t="s">
        <v>17</v>
      </c>
      <c r="Q3" s="19" t="s">
        <v>175</v>
      </c>
      <c r="R3" s="20"/>
      <c r="T3" s="13">
        <f t="shared" si="3"/>
        <v>4</v>
      </c>
    </row>
    <row r="4" spans="1:20" x14ac:dyDescent="0.25">
      <c r="A4" s="214">
        <v>44015</v>
      </c>
      <c r="B4" s="234" t="str">
        <f t="shared" si="0"/>
        <v>Pá</v>
      </c>
      <c r="C4" s="235">
        <v>12.5</v>
      </c>
      <c r="D4" s="216">
        <f t="shared" si="1"/>
        <v>50</v>
      </c>
      <c r="E4" s="236" t="s">
        <v>176</v>
      </c>
      <c r="F4" s="237"/>
      <c r="G4" s="229" t="s">
        <v>171</v>
      </c>
      <c r="H4" s="239" t="s">
        <v>112</v>
      </c>
      <c r="I4" s="218" t="s">
        <v>172</v>
      </c>
      <c r="J4" s="240" t="s">
        <v>15</v>
      </c>
      <c r="K4" s="241" t="s">
        <v>16</v>
      </c>
      <c r="L4" s="406">
        <v>4</v>
      </c>
      <c r="M4" s="242">
        <f>SUM(C2:C32)</f>
        <v>226.5</v>
      </c>
      <c r="N4" s="435">
        <v>235.5</v>
      </c>
      <c r="O4" s="17"/>
      <c r="P4" s="18" t="s">
        <v>17</v>
      </c>
      <c r="Q4" s="19" t="s">
        <v>175</v>
      </c>
      <c r="R4" s="20"/>
      <c r="T4" s="13">
        <f t="shared" si="3"/>
        <v>5</v>
      </c>
    </row>
    <row r="5" spans="1:20" x14ac:dyDescent="0.25">
      <c r="A5" s="214">
        <v>44016</v>
      </c>
      <c r="B5" s="225" t="str">
        <f t="shared" si="0"/>
        <v>So</v>
      </c>
      <c r="C5" s="243">
        <v>8.5</v>
      </c>
      <c r="D5" s="216">
        <f t="shared" si="1"/>
        <v>34</v>
      </c>
      <c r="E5" s="227" t="s">
        <v>177</v>
      </c>
      <c r="F5" s="228"/>
      <c r="G5" s="229" t="s">
        <v>171</v>
      </c>
      <c r="H5" s="230" t="s">
        <v>112</v>
      </c>
      <c r="I5" s="218" t="s">
        <v>172</v>
      </c>
      <c r="J5" s="244" t="s">
        <v>15</v>
      </c>
      <c r="K5" s="232" t="s">
        <v>16</v>
      </c>
      <c r="L5" s="400">
        <v>4</v>
      </c>
      <c r="M5" s="15" t="s">
        <v>14</v>
      </c>
      <c r="N5" s="434" t="s">
        <v>14</v>
      </c>
      <c r="O5" s="23">
        <v>31054</v>
      </c>
      <c r="P5" s="24" t="s">
        <v>17</v>
      </c>
      <c r="Q5" s="25" t="s">
        <v>178</v>
      </c>
      <c r="R5" s="26">
        <v>44060</v>
      </c>
      <c r="S5" s="30"/>
      <c r="T5" s="13">
        <f t="shared" si="3"/>
        <v>6</v>
      </c>
    </row>
    <row r="6" spans="1:20" x14ac:dyDescent="0.25">
      <c r="A6" s="214">
        <v>44017</v>
      </c>
      <c r="B6" s="234" t="str">
        <f t="shared" si="0"/>
        <v>Ne</v>
      </c>
      <c r="C6" s="245">
        <v>0</v>
      </c>
      <c r="D6" s="216">
        <f t="shared" si="1"/>
        <v>0</v>
      </c>
      <c r="E6" s="236" t="s">
        <v>179</v>
      </c>
      <c r="F6" s="237"/>
      <c r="G6" s="238" t="s">
        <v>171</v>
      </c>
      <c r="H6" s="239"/>
      <c r="I6" s="218" t="s">
        <v>172</v>
      </c>
      <c r="J6" s="240" t="s">
        <v>15</v>
      </c>
      <c r="K6" s="241" t="s">
        <v>16</v>
      </c>
      <c r="L6" s="406">
        <v>4</v>
      </c>
      <c r="M6" s="21">
        <v>0</v>
      </c>
      <c r="N6" s="436">
        <v>0</v>
      </c>
      <c r="O6" s="17" t="s">
        <v>158</v>
      </c>
      <c r="P6" s="27"/>
      <c r="Q6" s="28"/>
      <c r="R6" s="29"/>
      <c r="S6" s="30"/>
      <c r="T6" s="13">
        <f t="shared" si="3"/>
        <v>7</v>
      </c>
    </row>
    <row r="7" spans="1:20" x14ac:dyDescent="0.25">
      <c r="A7" s="214">
        <v>44018</v>
      </c>
      <c r="B7" s="225" t="str">
        <f t="shared" si="0"/>
        <v>Po</v>
      </c>
      <c r="C7" s="243">
        <v>11</v>
      </c>
      <c r="D7" s="216">
        <f t="shared" si="1"/>
        <v>44</v>
      </c>
      <c r="E7" s="227" t="s">
        <v>180</v>
      </c>
      <c r="F7" s="228"/>
      <c r="G7" s="238" t="s">
        <v>171</v>
      </c>
      <c r="H7" s="230"/>
      <c r="I7" s="218" t="s">
        <v>172</v>
      </c>
      <c r="J7" s="244" t="s">
        <v>15</v>
      </c>
      <c r="K7" s="232" t="s">
        <v>16</v>
      </c>
      <c r="L7" s="400">
        <v>4</v>
      </c>
      <c r="M7" s="14" t="s">
        <v>20</v>
      </c>
      <c r="N7" s="437" t="s">
        <v>20</v>
      </c>
      <c r="O7" s="23">
        <f>SUM(O3)</f>
        <v>0</v>
      </c>
      <c r="P7" s="30"/>
      <c r="Q7" s="30" t="s">
        <v>48</v>
      </c>
      <c r="R7" s="32"/>
      <c r="S7" s="30"/>
      <c r="T7" s="13">
        <f t="shared" si="3"/>
        <v>1</v>
      </c>
    </row>
    <row r="8" spans="1:20" x14ac:dyDescent="0.25">
      <c r="A8" s="214">
        <v>44019</v>
      </c>
      <c r="B8" s="234" t="str">
        <f t="shared" si="0"/>
        <v>Út</v>
      </c>
      <c r="C8" s="247">
        <v>10</v>
      </c>
      <c r="D8" s="216">
        <f t="shared" si="1"/>
        <v>40</v>
      </c>
      <c r="E8" s="253" t="s">
        <v>181</v>
      </c>
      <c r="F8" s="237"/>
      <c r="G8" s="238" t="s">
        <v>171</v>
      </c>
      <c r="H8" s="239"/>
      <c r="I8" s="218" t="s">
        <v>172</v>
      </c>
      <c r="J8" s="240" t="s">
        <v>15</v>
      </c>
      <c r="K8" s="241" t="s">
        <v>16</v>
      </c>
      <c r="L8" s="406">
        <v>4</v>
      </c>
      <c r="M8" s="21" t="s">
        <v>22</v>
      </c>
      <c r="N8" s="438" t="s">
        <v>22</v>
      </c>
      <c r="O8" s="33" t="s">
        <v>162</v>
      </c>
      <c r="P8" s="30"/>
      <c r="Q8" s="30"/>
      <c r="R8" s="32"/>
      <c r="S8" s="30"/>
      <c r="T8" s="13">
        <f t="shared" si="3"/>
        <v>2</v>
      </c>
    </row>
    <row r="9" spans="1:20" x14ac:dyDescent="0.25">
      <c r="A9" s="214">
        <v>44020</v>
      </c>
      <c r="B9" s="225" t="str">
        <f t="shared" si="0"/>
        <v>St</v>
      </c>
      <c r="C9" s="243">
        <v>8.5</v>
      </c>
      <c r="D9" s="216">
        <f t="shared" si="1"/>
        <v>34</v>
      </c>
      <c r="E9" s="252" t="s">
        <v>182</v>
      </c>
      <c r="F9" s="228"/>
      <c r="G9" s="238" t="s">
        <v>171</v>
      </c>
      <c r="H9" s="230"/>
      <c r="I9" s="218" t="s">
        <v>172</v>
      </c>
      <c r="J9" s="231" t="s">
        <v>15</v>
      </c>
      <c r="K9" s="232" t="s">
        <v>16</v>
      </c>
      <c r="L9" s="400">
        <v>4</v>
      </c>
      <c r="M9" s="15" t="s">
        <v>23</v>
      </c>
      <c r="N9" s="439" t="s">
        <v>23</v>
      </c>
      <c r="O9" s="34">
        <f>SUM(O2:O4)</f>
        <v>18199</v>
      </c>
      <c r="P9" s="30"/>
      <c r="Q9" s="30"/>
      <c r="R9" s="32"/>
      <c r="S9" s="30"/>
      <c r="T9" s="13">
        <f t="shared" si="3"/>
        <v>3</v>
      </c>
    </row>
    <row r="10" spans="1:20" x14ac:dyDescent="0.25">
      <c r="A10" s="214">
        <v>44021</v>
      </c>
      <c r="B10" s="234" t="str">
        <f t="shared" si="0"/>
        <v>Čt</v>
      </c>
      <c r="C10" s="245">
        <v>10.5</v>
      </c>
      <c r="D10" s="216">
        <f t="shared" si="1"/>
        <v>42</v>
      </c>
      <c r="E10" s="253" t="s">
        <v>71</v>
      </c>
      <c r="F10" s="237"/>
      <c r="G10" s="238" t="s">
        <v>171</v>
      </c>
      <c r="H10" s="239"/>
      <c r="I10" s="218" t="s">
        <v>172</v>
      </c>
      <c r="J10" s="240" t="s">
        <v>15</v>
      </c>
      <c r="K10" s="241" t="s">
        <v>16</v>
      </c>
      <c r="L10" s="406">
        <v>4</v>
      </c>
      <c r="M10" s="251">
        <f t="shared" ref="M10:N10" si="4">SUM(M2*350)+S2</f>
        <v>79275</v>
      </c>
      <c r="N10" s="440">
        <f t="shared" si="4"/>
        <v>82428</v>
      </c>
      <c r="O10" s="35"/>
      <c r="P10" s="30"/>
      <c r="Q10" s="30"/>
      <c r="R10" s="32"/>
      <c r="S10" s="30"/>
      <c r="T10" s="13">
        <f t="shared" si="3"/>
        <v>4</v>
      </c>
    </row>
    <row r="11" spans="1:20" x14ac:dyDescent="0.25">
      <c r="A11" s="214">
        <v>44022</v>
      </c>
      <c r="B11" s="225" t="str">
        <f t="shared" si="0"/>
        <v>Pá</v>
      </c>
      <c r="C11" s="243">
        <v>11</v>
      </c>
      <c r="D11" s="216">
        <f t="shared" si="1"/>
        <v>44</v>
      </c>
      <c r="E11" s="252" t="s">
        <v>180</v>
      </c>
      <c r="F11" s="228"/>
      <c r="G11" s="238" t="s">
        <v>171</v>
      </c>
      <c r="H11" s="230"/>
      <c r="I11" s="218" t="s">
        <v>172</v>
      </c>
      <c r="J11" s="231" t="s">
        <v>15</v>
      </c>
      <c r="K11" s="232" t="s">
        <v>16</v>
      </c>
      <c r="L11" s="400">
        <v>4</v>
      </c>
      <c r="M11" s="15" t="s">
        <v>24</v>
      </c>
      <c r="N11" s="441" t="s">
        <v>24</v>
      </c>
      <c r="O11" s="223">
        <f>'05hod20'!M2</f>
        <v>112</v>
      </c>
      <c r="P11" s="30"/>
      <c r="Q11" s="30"/>
      <c r="R11" s="30"/>
      <c r="S11" s="30"/>
      <c r="T11" s="13">
        <f t="shared" si="3"/>
        <v>5</v>
      </c>
    </row>
    <row r="12" spans="1:20" x14ac:dyDescent="0.25">
      <c r="A12" s="214">
        <v>44023</v>
      </c>
      <c r="B12" s="234" t="str">
        <f t="shared" si="0"/>
        <v>So</v>
      </c>
      <c r="C12" s="245">
        <v>13</v>
      </c>
      <c r="D12" s="216">
        <f t="shared" si="1"/>
        <v>52</v>
      </c>
      <c r="E12" s="253" t="s">
        <v>183</v>
      </c>
      <c r="F12" s="237"/>
      <c r="G12" s="238" t="s">
        <v>171</v>
      </c>
      <c r="H12" s="239"/>
      <c r="I12" s="218" t="s">
        <v>172</v>
      </c>
      <c r="J12" s="240" t="s">
        <v>15</v>
      </c>
      <c r="K12" s="241" t="s">
        <v>16</v>
      </c>
      <c r="L12" s="406">
        <v>4</v>
      </c>
      <c r="M12" s="254">
        <f>(M10+M20+M18-M22)-M14</f>
        <v>64768.739000000001</v>
      </c>
      <c r="N12" s="442">
        <f>(N10+N18+N20-N22)-N14</f>
        <v>68531.5</v>
      </c>
      <c r="O12" s="36"/>
      <c r="P12" s="30"/>
      <c r="Q12" s="30"/>
      <c r="R12" s="30"/>
      <c r="S12" s="30"/>
      <c r="T12" s="13">
        <f t="shared" si="3"/>
        <v>6</v>
      </c>
    </row>
    <row r="13" spans="1:20" x14ac:dyDescent="0.25">
      <c r="A13" s="214">
        <v>44024</v>
      </c>
      <c r="B13" s="225" t="str">
        <f t="shared" si="0"/>
        <v>Ne</v>
      </c>
      <c r="C13" s="243">
        <v>0</v>
      </c>
      <c r="D13" s="216">
        <f t="shared" si="1"/>
        <v>0</v>
      </c>
      <c r="E13" s="255" t="s">
        <v>179</v>
      </c>
      <c r="F13" s="228"/>
      <c r="G13" s="238" t="s">
        <v>171</v>
      </c>
      <c r="H13" s="230"/>
      <c r="I13" s="218" t="s">
        <v>172</v>
      </c>
      <c r="J13" s="231" t="s">
        <v>15</v>
      </c>
      <c r="K13" s="232" t="s">
        <v>16</v>
      </c>
      <c r="L13" s="400">
        <v>4</v>
      </c>
      <c r="M13" s="15" t="s">
        <v>26</v>
      </c>
      <c r="N13" s="434" t="s">
        <v>26</v>
      </c>
      <c r="O13" s="432"/>
      <c r="P13" s="30"/>
      <c r="Q13" s="30"/>
      <c r="R13" s="30"/>
      <c r="S13" s="30"/>
      <c r="T13" s="13">
        <f t="shared" si="3"/>
        <v>7</v>
      </c>
    </row>
    <row r="14" spans="1:20" x14ac:dyDescent="0.25">
      <c r="A14" s="214">
        <v>44025</v>
      </c>
      <c r="B14" s="234" t="str">
        <f t="shared" si="0"/>
        <v>Po</v>
      </c>
      <c r="C14" s="235">
        <v>9.5</v>
      </c>
      <c r="D14" s="216">
        <f t="shared" si="1"/>
        <v>38</v>
      </c>
      <c r="E14" s="253" t="s">
        <v>30</v>
      </c>
      <c r="F14" s="237" t="s">
        <v>184</v>
      </c>
      <c r="G14" s="238" t="s">
        <v>138</v>
      </c>
      <c r="H14" s="239"/>
      <c r="I14" s="256" t="s">
        <v>113</v>
      </c>
      <c r="J14" s="240" t="s">
        <v>15</v>
      </c>
      <c r="K14" s="241" t="s">
        <v>16</v>
      </c>
      <c r="L14" s="406">
        <v>4</v>
      </c>
      <c r="M14" s="254">
        <f t="shared" ref="M14:N14" si="5">(M16*26.17)</f>
        <v>15003.261</v>
      </c>
      <c r="N14" s="442">
        <f t="shared" si="5"/>
        <v>14393.500000000002</v>
      </c>
      <c r="O14" s="37"/>
      <c r="P14" s="30"/>
      <c r="Q14" s="30"/>
      <c r="R14" s="30"/>
      <c r="S14" s="30"/>
      <c r="T14" s="13">
        <f t="shared" si="3"/>
        <v>1</v>
      </c>
    </row>
    <row r="15" spans="1:20" x14ac:dyDescent="0.25">
      <c r="A15" s="214">
        <v>44026</v>
      </c>
      <c r="B15" s="225" t="str">
        <f t="shared" si="0"/>
        <v>Út</v>
      </c>
      <c r="C15" s="226">
        <v>0</v>
      </c>
      <c r="D15" s="216">
        <f t="shared" si="1"/>
        <v>0</v>
      </c>
      <c r="E15" s="252" t="s">
        <v>185</v>
      </c>
      <c r="F15" s="228"/>
      <c r="G15" s="229" t="s">
        <v>138</v>
      </c>
      <c r="H15" s="230"/>
      <c r="I15" s="257"/>
      <c r="J15" s="231" t="s">
        <v>15</v>
      </c>
      <c r="K15" s="232" t="s">
        <v>16</v>
      </c>
      <c r="L15" s="400">
        <v>4</v>
      </c>
      <c r="M15" s="15" t="s">
        <v>29</v>
      </c>
      <c r="N15" s="434" t="s">
        <v>29</v>
      </c>
      <c r="O15" s="37"/>
      <c r="P15" s="30"/>
      <c r="Q15" s="30"/>
      <c r="R15" s="30"/>
      <c r="S15" s="30"/>
      <c r="T15" s="13">
        <f t="shared" si="3"/>
        <v>2</v>
      </c>
    </row>
    <row r="16" spans="1:20" x14ac:dyDescent="0.25">
      <c r="A16" s="214">
        <v>44027</v>
      </c>
      <c r="B16" s="234" t="str">
        <f t="shared" si="0"/>
        <v>St</v>
      </c>
      <c r="C16" s="235">
        <v>11.5</v>
      </c>
      <c r="D16" s="216">
        <f t="shared" si="1"/>
        <v>46</v>
      </c>
      <c r="E16" s="248" t="s">
        <v>186</v>
      </c>
      <c r="F16" s="256"/>
      <c r="G16" s="238" t="s">
        <v>138</v>
      </c>
      <c r="H16" s="239"/>
      <c r="I16" s="256"/>
      <c r="J16" s="240" t="s">
        <v>15</v>
      </c>
      <c r="K16" s="241" t="s">
        <v>16</v>
      </c>
      <c r="L16" s="406">
        <v>4</v>
      </c>
      <c r="M16" s="258">
        <f>'20ČervenecV'!O27</f>
        <v>573.29999999999995</v>
      </c>
      <c r="N16" s="443">
        <v>550</v>
      </c>
      <c r="O16" s="37"/>
      <c r="P16" s="30"/>
      <c r="Q16" s="30"/>
      <c r="R16" s="30"/>
      <c r="S16" s="30"/>
      <c r="T16" s="13">
        <f t="shared" si="3"/>
        <v>3</v>
      </c>
    </row>
    <row r="17" spans="1:20" x14ac:dyDescent="0.25">
      <c r="A17" s="214">
        <v>44028</v>
      </c>
      <c r="B17" s="225" t="str">
        <f t="shared" si="0"/>
        <v>Čt</v>
      </c>
      <c r="C17" s="243">
        <v>10.5</v>
      </c>
      <c r="D17" s="216">
        <f t="shared" si="1"/>
        <v>42</v>
      </c>
      <c r="E17" s="250" t="s">
        <v>187</v>
      </c>
      <c r="F17" s="257"/>
      <c r="G17" s="229" t="s">
        <v>138</v>
      </c>
      <c r="H17" s="230"/>
      <c r="I17" s="257"/>
      <c r="J17" s="231" t="s">
        <v>15</v>
      </c>
      <c r="K17" s="232" t="s">
        <v>16</v>
      </c>
      <c r="L17" s="400">
        <v>4</v>
      </c>
      <c r="M17" s="15" t="s">
        <v>31</v>
      </c>
      <c r="N17" s="434" t="s">
        <v>31</v>
      </c>
      <c r="S17" s="30"/>
      <c r="T17" s="13">
        <f t="shared" si="3"/>
        <v>4</v>
      </c>
    </row>
    <row r="18" spans="1:20" x14ac:dyDescent="0.25">
      <c r="A18" s="214">
        <v>44029</v>
      </c>
      <c r="B18" s="234" t="str">
        <f t="shared" si="0"/>
        <v>Pá</v>
      </c>
      <c r="C18" s="256">
        <v>10</v>
      </c>
      <c r="D18" s="216">
        <f t="shared" si="1"/>
        <v>40</v>
      </c>
      <c r="E18" s="248" t="s">
        <v>188</v>
      </c>
      <c r="F18" s="256"/>
      <c r="G18" s="238" t="s">
        <v>138</v>
      </c>
      <c r="H18" s="239"/>
      <c r="I18" s="256"/>
      <c r="J18" s="240" t="s">
        <v>15</v>
      </c>
      <c r="K18" s="241" t="s">
        <v>16</v>
      </c>
      <c r="L18" s="406">
        <v>4</v>
      </c>
      <c r="M18" s="251">
        <v>1382</v>
      </c>
      <c r="N18" s="444">
        <v>1382</v>
      </c>
      <c r="S18" s="30"/>
      <c r="T18" s="13">
        <f t="shared" si="3"/>
        <v>5</v>
      </c>
    </row>
    <row r="19" spans="1:20" x14ac:dyDescent="0.25">
      <c r="A19" s="214">
        <v>44030</v>
      </c>
      <c r="B19" s="225" t="str">
        <f t="shared" si="0"/>
        <v>So</v>
      </c>
      <c r="C19" s="225">
        <v>10</v>
      </c>
      <c r="D19" s="216">
        <f t="shared" si="1"/>
        <v>40</v>
      </c>
      <c r="E19" s="250" t="s">
        <v>189</v>
      </c>
      <c r="F19" s="257"/>
      <c r="G19" s="229" t="s">
        <v>138</v>
      </c>
      <c r="H19" s="230"/>
      <c r="I19" s="257"/>
      <c r="J19" s="231" t="s">
        <v>15</v>
      </c>
      <c r="K19" s="232" t="s">
        <v>16</v>
      </c>
      <c r="L19" s="400">
        <v>4</v>
      </c>
      <c r="M19" s="259" t="s">
        <v>33</v>
      </c>
      <c r="N19" s="445" t="s">
        <v>33</v>
      </c>
      <c r="S19" s="30"/>
      <c r="T19" s="13">
        <f t="shared" si="3"/>
        <v>6</v>
      </c>
    </row>
    <row r="20" spans="1:20" x14ac:dyDescent="0.25">
      <c r="A20" s="214">
        <v>44031</v>
      </c>
      <c r="B20" s="234" t="str">
        <f t="shared" si="0"/>
        <v>Ne</v>
      </c>
      <c r="C20" s="245">
        <v>0</v>
      </c>
      <c r="D20" s="216">
        <f t="shared" si="1"/>
        <v>0</v>
      </c>
      <c r="E20" s="248" t="s">
        <v>179</v>
      </c>
      <c r="F20" s="256"/>
      <c r="G20" s="238" t="s">
        <v>138</v>
      </c>
      <c r="H20" s="239"/>
      <c r="I20" s="256"/>
      <c r="J20" s="240" t="s">
        <v>15</v>
      </c>
      <c r="K20" s="241" t="s">
        <v>16</v>
      </c>
      <c r="L20" s="406">
        <v>4</v>
      </c>
      <c r="M20" s="251">
        <v>0</v>
      </c>
      <c r="N20" s="444">
        <v>0</v>
      </c>
      <c r="S20" s="30"/>
      <c r="T20" s="13">
        <f t="shared" si="3"/>
        <v>7</v>
      </c>
    </row>
    <row r="21" spans="1:20" ht="15.75" customHeight="1" x14ac:dyDescent="0.25">
      <c r="A21" s="214">
        <v>44032</v>
      </c>
      <c r="B21" s="225" t="str">
        <f t="shared" si="0"/>
        <v>Po</v>
      </c>
      <c r="C21" s="243">
        <v>13.5</v>
      </c>
      <c r="D21" s="216">
        <f t="shared" si="1"/>
        <v>54</v>
      </c>
      <c r="E21" s="252" t="s">
        <v>190</v>
      </c>
      <c r="F21" s="257"/>
      <c r="G21" s="229" t="s">
        <v>138</v>
      </c>
      <c r="H21" s="230"/>
      <c r="I21" s="257"/>
      <c r="J21" s="231" t="s">
        <v>15</v>
      </c>
      <c r="K21" s="241" t="s">
        <v>16</v>
      </c>
      <c r="L21" s="400">
        <v>4</v>
      </c>
      <c r="M21" s="259" t="s">
        <v>34</v>
      </c>
      <c r="N21" s="445" t="s">
        <v>34</v>
      </c>
      <c r="S21" s="30"/>
      <c r="T21" s="13">
        <f t="shared" si="3"/>
        <v>1</v>
      </c>
    </row>
    <row r="22" spans="1:20" ht="15.75" customHeight="1" x14ac:dyDescent="0.25">
      <c r="A22" s="214">
        <v>44033</v>
      </c>
      <c r="B22" s="234" t="str">
        <f t="shared" si="0"/>
        <v>Út</v>
      </c>
      <c r="C22" s="245">
        <v>8</v>
      </c>
      <c r="D22" s="216">
        <f t="shared" si="1"/>
        <v>32</v>
      </c>
      <c r="E22" s="253" t="s">
        <v>191</v>
      </c>
      <c r="F22" s="256"/>
      <c r="G22" s="238" t="s">
        <v>138</v>
      </c>
      <c r="H22" s="239"/>
      <c r="I22" s="256"/>
      <c r="J22" s="240" t="s">
        <v>15</v>
      </c>
      <c r="K22" s="241" t="s">
        <v>16</v>
      </c>
      <c r="L22" s="406">
        <v>4</v>
      </c>
      <c r="M22" s="251">
        <v>885</v>
      </c>
      <c r="N22" s="444">
        <v>885</v>
      </c>
      <c r="S22" s="30"/>
      <c r="T22" s="13">
        <f t="shared" si="3"/>
        <v>2</v>
      </c>
    </row>
    <row r="23" spans="1:20" ht="15.75" customHeight="1" x14ac:dyDescent="0.25">
      <c r="A23" s="214">
        <v>44034</v>
      </c>
      <c r="B23" s="225" t="str">
        <f t="shared" si="0"/>
        <v>St</v>
      </c>
      <c r="C23" s="243">
        <v>0</v>
      </c>
      <c r="D23" s="216">
        <f t="shared" si="1"/>
        <v>0</v>
      </c>
      <c r="E23" s="250" t="s">
        <v>192</v>
      </c>
      <c r="F23" s="257"/>
      <c r="G23" s="238"/>
      <c r="H23" s="230"/>
      <c r="I23" s="256"/>
      <c r="J23" s="231" t="s">
        <v>15</v>
      </c>
      <c r="K23" s="241" t="s">
        <v>16</v>
      </c>
      <c r="L23" s="400">
        <v>0</v>
      </c>
      <c r="M23" s="15" t="s">
        <v>35</v>
      </c>
      <c r="N23" s="434" t="s">
        <v>164</v>
      </c>
      <c r="S23" s="30"/>
      <c r="T23" s="13">
        <f t="shared" si="3"/>
        <v>3</v>
      </c>
    </row>
    <row r="24" spans="1:20" ht="15.75" customHeight="1" x14ac:dyDescent="0.25">
      <c r="A24" s="214">
        <v>44035</v>
      </c>
      <c r="B24" s="234" t="str">
        <f t="shared" si="0"/>
        <v>Čt</v>
      </c>
      <c r="C24" s="245">
        <v>0</v>
      </c>
      <c r="D24" s="216">
        <f t="shared" si="1"/>
        <v>0</v>
      </c>
      <c r="E24" s="248" t="s">
        <v>192</v>
      </c>
      <c r="F24" s="256"/>
      <c r="G24" s="238"/>
      <c r="H24" s="239"/>
      <c r="I24" s="256"/>
      <c r="J24" s="240" t="s">
        <v>15</v>
      </c>
      <c r="K24" s="241" t="s">
        <v>16</v>
      </c>
      <c r="L24" s="406">
        <v>0</v>
      </c>
      <c r="M24" s="260">
        <f>M12-O7+M28-O5</f>
        <v>33714.739000000001</v>
      </c>
      <c r="N24" s="446">
        <f>N12+M28-O5-O7-N26</f>
        <v>14568.5</v>
      </c>
      <c r="S24" s="30"/>
      <c r="T24" s="13">
        <f t="shared" si="3"/>
        <v>4</v>
      </c>
    </row>
    <row r="25" spans="1:20" ht="15.75" customHeight="1" x14ac:dyDescent="0.25">
      <c r="A25" s="214">
        <v>44036</v>
      </c>
      <c r="B25" s="225" t="str">
        <f t="shared" si="0"/>
        <v>Pá</v>
      </c>
      <c r="C25" s="243">
        <v>0</v>
      </c>
      <c r="D25" s="216">
        <f t="shared" si="1"/>
        <v>0</v>
      </c>
      <c r="E25" s="426" t="s">
        <v>192</v>
      </c>
      <c r="F25" s="257"/>
      <c r="G25" s="238"/>
      <c r="H25" s="230"/>
      <c r="I25" s="256"/>
      <c r="J25" s="231" t="s">
        <v>15</v>
      </c>
      <c r="K25" s="241" t="s">
        <v>16</v>
      </c>
      <c r="L25" s="400">
        <v>0</v>
      </c>
      <c r="M25" s="1265" t="s">
        <v>193</v>
      </c>
      <c r="N25" s="1267"/>
      <c r="S25" s="30"/>
      <c r="T25" s="13">
        <f t="shared" si="3"/>
        <v>5</v>
      </c>
    </row>
    <row r="26" spans="1:20" ht="15.75" customHeight="1" x14ac:dyDescent="0.25">
      <c r="A26" s="214">
        <v>44037</v>
      </c>
      <c r="B26" s="234" t="str">
        <f t="shared" si="0"/>
        <v>So</v>
      </c>
      <c r="C26" s="245">
        <v>0</v>
      </c>
      <c r="D26" s="216">
        <f t="shared" si="1"/>
        <v>0</v>
      </c>
      <c r="E26" s="253" t="s">
        <v>192</v>
      </c>
      <c r="F26" s="256"/>
      <c r="G26" s="238"/>
      <c r="H26" s="239"/>
      <c r="I26" s="256"/>
      <c r="J26" s="240" t="s">
        <v>15</v>
      </c>
      <c r="K26" s="241" t="s">
        <v>16</v>
      </c>
      <c r="L26" s="418">
        <v>0</v>
      </c>
      <c r="M26" s="261">
        <v>22909</v>
      </c>
      <c r="N26" s="261">
        <f>M26-P7</f>
        <v>22909</v>
      </c>
      <c r="S26" s="30"/>
      <c r="T26" s="13">
        <f t="shared" si="3"/>
        <v>6</v>
      </c>
    </row>
    <row r="27" spans="1:20" ht="15.75" customHeight="1" x14ac:dyDescent="0.25">
      <c r="A27" s="214">
        <v>44038</v>
      </c>
      <c r="B27" s="225" t="str">
        <f t="shared" si="0"/>
        <v>Ne</v>
      </c>
      <c r="C27" s="243">
        <v>0</v>
      </c>
      <c r="D27" s="216">
        <f t="shared" si="1"/>
        <v>0</v>
      </c>
      <c r="E27" s="253" t="s">
        <v>192</v>
      </c>
      <c r="F27" s="257"/>
      <c r="G27" s="238"/>
      <c r="H27" s="239"/>
      <c r="I27" s="256"/>
      <c r="J27" s="231" t="s">
        <v>15</v>
      </c>
      <c r="K27" s="241" t="s">
        <v>16</v>
      </c>
      <c r="L27" s="30">
        <v>0</v>
      </c>
      <c r="M27" t="s">
        <v>194</v>
      </c>
      <c r="S27" s="30"/>
      <c r="T27" s="13">
        <f t="shared" si="3"/>
        <v>7</v>
      </c>
    </row>
    <row r="28" spans="1:20" ht="15.75" customHeight="1" x14ac:dyDescent="0.25">
      <c r="A28" s="214">
        <v>44039</v>
      </c>
      <c r="B28" s="234" t="str">
        <f t="shared" si="0"/>
        <v>Po</v>
      </c>
      <c r="C28" s="245">
        <v>3.5</v>
      </c>
      <c r="D28" s="216">
        <f t="shared" si="1"/>
        <v>10.5</v>
      </c>
      <c r="E28" s="253" t="s">
        <v>195</v>
      </c>
      <c r="F28" s="447" t="s">
        <v>196</v>
      </c>
      <c r="G28" s="238" t="s">
        <v>197</v>
      </c>
      <c r="H28" s="239"/>
      <c r="I28" s="256"/>
      <c r="J28" s="240" t="s">
        <v>15</v>
      </c>
      <c r="K28" s="241" t="s">
        <v>16</v>
      </c>
      <c r="L28" s="30">
        <v>3</v>
      </c>
      <c r="M28" s="261">
        <f>'06hod20'!N26</f>
        <v>0</v>
      </c>
      <c r="O28" s="30"/>
      <c r="P28" s="30"/>
      <c r="Q28" s="30"/>
      <c r="R28" s="30"/>
      <c r="S28" s="30"/>
      <c r="T28" s="13">
        <f t="shared" si="3"/>
        <v>1</v>
      </c>
    </row>
    <row r="29" spans="1:20" ht="15.75" customHeight="1" x14ac:dyDescent="0.25">
      <c r="A29" s="214">
        <v>44040</v>
      </c>
      <c r="B29" s="225" t="str">
        <f t="shared" si="0"/>
        <v>Út</v>
      </c>
      <c r="C29" s="243">
        <v>11</v>
      </c>
      <c r="D29" s="216">
        <f t="shared" si="1"/>
        <v>33</v>
      </c>
      <c r="E29" s="253" t="s">
        <v>198</v>
      </c>
      <c r="F29" s="257" t="s">
        <v>196</v>
      </c>
      <c r="G29" s="238" t="s">
        <v>197</v>
      </c>
      <c r="H29" s="239"/>
      <c r="I29" s="256"/>
      <c r="J29" s="231" t="s">
        <v>15</v>
      </c>
      <c r="K29" s="241" t="s">
        <v>16</v>
      </c>
      <c r="L29" s="30">
        <v>3</v>
      </c>
      <c r="M29" s="30"/>
      <c r="N29" s="30"/>
      <c r="O29" s="30"/>
      <c r="P29" s="30"/>
      <c r="Q29" s="30"/>
      <c r="R29" s="30"/>
      <c r="S29" s="30"/>
      <c r="T29" s="13">
        <f t="shared" si="3"/>
        <v>2</v>
      </c>
    </row>
    <row r="30" spans="1:20" ht="15.75" customHeight="1" x14ac:dyDescent="0.25">
      <c r="A30" s="214">
        <v>44041</v>
      </c>
      <c r="B30" s="234" t="str">
        <f t="shared" si="0"/>
        <v>St</v>
      </c>
      <c r="C30" s="245">
        <v>10</v>
      </c>
      <c r="D30" s="216">
        <f t="shared" si="1"/>
        <v>30</v>
      </c>
      <c r="E30" s="253" t="s">
        <v>199</v>
      </c>
      <c r="F30" s="256" t="s">
        <v>196</v>
      </c>
      <c r="G30" s="238" t="s">
        <v>197</v>
      </c>
      <c r="H30" s="239"/>
      <c r="I30" s="256"/>
      <c r="J30" s="240" t="s">
        <v>15</v>
      </c>
      <c r="K30" s="241" t="s">
        <v>16</v>
      </c>
      <c r="L30" s="30">
        <v>3</v>
      </c>
      <c r="M30" s="30"/>
      <c r="N30" s="30"/>
      <c r="O30" s="30"/>
      <c r="P30" s="30"/>
      <c r="Q30" s="30"/>
      <c r="R30" s="30"/>
      <c r="S30" s="30"/>
      <c r="T30" s="13">
        <f t="shared" si="3"/>
        <v>3</v>
      </c>
    </row>
    <row r="31" spans="1:20" ht="15.75" customHeight="1" x14ac:dyDescent="0.25">
      <c r="A31" s="214">
        <v>44042</v>
      </c>
      <c r="B31" s="225" t="str">
        <f t="shared" si="0"/>
        <v>Čt</v>
      </c>
      <c r="C31" s="243">
        <v>11.5</v>
      </c>
      <c r="D31" s="216">
        <f t="shared" si="1"/>
        <v>34.5</v>
      </c>
      <c r="E31" s="252" t="s">
        <v>200</v>
      </c>
      <c r="F31" s="257" t="s">
        <v>196</v>
      </c>
      <c r="G31" s="238" t="s">
        <v>197</v>
      </c>
      <c r="H31" s="239"/>
      <c r="I31" s="256"/>
      <c r="J31" s="231" t="s">
        <v>15</v>
      </c>
      <c r="K31" s="241" t="s">
        <v>16</v>
      </c>
      <c r="L31" s="448">
        <v>3</v>
      </c>
      <c r="M31" s="36"/>
      <c r="N31" s="36"/>
      <c r="O31" s="36"/>
      <c r="P31" s="30"/>
      <c r="Q31" s="30"/>
      <c r="R31" s="30"/>
      <c r="S31" s="30"/>
      <c r="T31" s="13">
        <f t="shared" si="3"/>
        <v>4</v>
      </c>
    </row>
    <row r="32" spans="1:20" ht="15.75" customHeight="1" x14ac:dyDescent="0.25">
      <c r="A32" s="214">
        <v>44043</v>
      </c>
      <c r="B32" s="267" t="str">
        <f t="shared" si="0"/>
        <v>Pá</v>
      </c>
      <c r="C32" s="365">
        <v>11.5</v>
      </c>
      <c r="D32" s="216">
        <f t="shared" si="1"/>
        <v>34.5</v>
      </c>
      <c r="E32" s="366" t="s">
        <v>200</v>
      </c>
      <c r="F32" s="367" t="s">
        <v>196</v>
      </c>
      <c r="G32" s="238" t="s">
        <v>197</v>
      </c>
      <c r="H32" s="423"/>
      <c r="I32" s="367"/>
      <c r="J32" s="369" t="s">
        <v>15</v>
      </c>
      <c r="K32" s="370" t="s">
        <v>16</v>
      </c>
      <c r="L32" s="38">
        <v>3</v>
      </c>
      <c r="M32" s="38"/>
      <c r="N32" s="38"/>
      <c r="O32" s="38"/>
      <c r="P32" s="38"/>
      <c r="Q32" s="30"/>
      <c r="R32" s="30"/>
      <c r="S32" s="30"/>
      <c r="T32" s="13">
        <f t="shared" si="3"/>
        <v>5</v>
      </c>
    </row>
    <row r="33" spans="1:21" ht="15.75" customHeight="1" x14ac:dyDescent="0.25">
      <c r="L33" s="38"/>
      <c r="M33" s="38"/>
      <c r="N33" s="38"/>
      <c r="O33" s="38"/>
      <c r="P33" s="38"/>
      <c r="Q33" s="30"/>
      <c r="R33" s="30"/>
      <c r="S33" s="30"/>
    </row>
    <row r="34" spans="1:21" ht="15.75" customHeight="1" x14ac:dyDescent="0.25">
      <c r="L34" s="38"/>
      <c r="M34" s="38"/>
      <c r="N34" s="38"/>
      <c r="O34" s="38"/>
      <c r="P34" s="38"/>
      <c r="Q34" s="30"/>
      <c r="R34" s="30"/>
      <c r="S34" s="30"/>
    </row>
    <row r="35" spans="1:21" ht="15.75" customHeight="1" x14ac:dyDescent="0.25">
      <c r="A35" s="30"/>
      <c r="B35" s="30"/>
      <c r="C35" s="30"/>
      <c r="D35" s="30"/>
      <c r="E35" s="30"/>
      <c r="F35" s="30"/>
      <c r="G35" s="30"/>
      <c r="H35" s="13"/>
      <c r="L35" s="30"/>
      <c r="M35" s="30"/>
      <c r="N35" s="30"/>
      <c r="O35" s="30"/>
      <c r="P35" s="30"/>
      <c r="Q35" s="30"/>
      <c r="R35" s="30"/>
    </row>
    <row r="36" spans="1:21" ht="15.75" customHeight="1" x14ac:dyDescent="0.25">
      <c r="A36" s="1257" t="s">
        <v>80</v>
      </c>
      <c r="B36" s="1258"/>
      <c r="C36" s="1263" t="s">
        <v>81</v>
      </c>
      <c r="D36" s="1264"/>
      <c r="O36" s="30"/>
      <c r="P36" s="40"/>
      <c r="Q36" s="40"/>
      <c r="R36" s="40"/>
    </row>
    <row r="37" spans="1:21" ht="15.75" customHeight="1" x14ac:dyDescent="0.25">
      <c r="A37" s="268" t="s">
        <v>47</v>
      </c>
      <c r="B37" s="269" t="s">
        <v>82</v>
      </c>
      <c r="C37" s="268" t="s">
        <v>47</v>
      </c>
      <c r="D37" s="270" t="s">
        <v>82</v>
      </c>
      <c r="O37" s="30"/>
      <c r="P37" s="40"/>
      <c r="Q37" s="40"/>
      <c r="R37" s="40"/>
      <c r="S37" s="40"/>
      <c r="T37" s="30"/>
    </row>
    <row r="38" spans="1:21" ht="15.75" customHeight="1" x14ac:dyDescent="0.25">
      <c r="A38" s="271">
        <v>43862</v>
      </c>
      <c r="B38" s="272">
        <v>142000</v>
      </c>
      <c r="C38" s="273">
        <v>43897</v>
      </c>
      <c r="D38" s="274">
        <v>150000</v>
      </c>
      <c r="O38" s="30"/>
      <c r="P38" s="40"/>
      <c r="Q38" s="40"/>
      <c r="R38" s="40"/>
      <c r="S38" s="40"/>
      <c r="T38" s="30"/>
    </row>
    <row r="39" spans="1:21" ht="15.75" customHeight="1" x14ac:dyDescent="0.25">
      <c r="A39" s="30"/>
      <c r="B39" s="1260" t="s">
        <v>83</v>
      </c>
      <c r="C39" s="1258"/>
      <c r="D39" s="30"/>
      <c r="O39" s="41"/>
      <c r="P39" s="40"/>
      <c r="Q39" s="40"/>
      <c r="R39" s="40"/>
      <c r="S39" s="40"/>
      <c r="T39" s="30"/>
    </row>
    <row r="40" spans="1:21" ht="15.75" customHeight="1" x14ac:dyDescent="0.25">
      <c r="A40" s="275"/>
      <c r="B40" s="1261">
        <f>D38-B38</f>
        <v>8000</v>
      </c>
      <c r="C40" s="1262"/>
      <c r="D40" s="30"/>
      <c r="O40" s="41"/>
      <c r="P40" s="40"/>
      <c r="Q40" s="40"/>
      <c r="R40" s="40"/>
      <c r="S40" s="40"/>
      <c r="T40" s="30"/>
    </row>
    <row r="41" spans="1:21" ht="15.75" customHeight="1" x14ac:dyDescent="0.25">
      <c r="M41" s="41"/>
      <c r="N41" s="41"/>
      <c r="P41" s="41"/>
      <c r="Q41" s="40"/>
      <c r="R41" s="40"/>
      <c r="S41" s="40"/>
      <c r="T41" s="40"/>
      <c r="U41" s="30"/>
    </row>
    <row r="42" spans="1:21" ht="15.75" customHeight="1" x14ac:dyDescent="0.25">
      <c r="M42" s="41"/>
      <c r="N42" s="41"/>
      <c r="P42" s="41"/>
      <c r="Q42" s="40"/>
      <c r="R42" s="40"/>
      <c r="S42" s="40"/>
      <c r="T42" s="40"/>
      <c r="U42" s="30"/>
    </row>
    <row r="43" spans="1:21" ht="15.75" customHeight="1" x14ac:dyDescent="0.25">
      <c r="M43" s="41"/>
      <c r="N43" s="41"/>
      <c r="P43" s="41"/>
      <c r="Q43" s="40"/>
      <c r="R43" s="40"/>
      <c r="S43" s="40"/>
      <c r="T43" s="40"/>
      <c r="U43" s="30"/>
    </row>
    <row r="44" spans="1:21" ht="15.75" customHeight="1" x14ac:dyDescent="0.25">
      <c r="M44" s="41"/>
      <c r="N44" s="41"/>
      <c r="P44" s="41"/>
      <c r="Q44" s="40"/>
      <c r="R44" s="40"/>
      <c r="S44" s="40"/>
      <c r="T44" s="40"/>
      <c r="U44" s="30"/>
    </row>
    <row r="45" spans="1:21" ht="15.75" customHeight="1" x14ac:dyDescent="0.25">
      <c r="M45" s="41"/>
      <c r="N45" s="41"/>
      <c r="P45" s="41"/>
      <c r="Q45" s="40"/>
      <c r="R45" s="40"/>
      <c r="S45" s="40"/>
      <c r="T45" s="40"/>
      <c r="U45" s="30"/>
    </row>
    <row r="46" spans="1:21" ht="15.75" customHeight="1" x14ac:dyDescent="0.25">
      <c r="M46" s="41"/>
      <c r="N46" s="41"/>
      <c r="P46" s="41"/>
      <c r="Q46" s="40"/>
      <c r="R46" s="40"/>
      <c r="S46" s="40"/>
      <c r="T46" s="40"/>
      <c r="U46" s="30"/>
    </row>
    <row r="47" spans="1:21" ht="15.75" customHeight="1" x14ac:dyDescent="0.25">
      <c r="M47" s="41"/>
      <c r="N47" s="41"/>
      <c r="P47" s="41"/>
      <c r="Q47" s="40"/>
      <c r="R47" s="40"/>
      <c r="S47" s="40"/>
      <c r="T47" s="40"/>
      <c r="U47" s="30"/>
    </row>
    <row r="48" spans="1:21" ht="15.75" customHeight="1" x14ac:dyDescent="0.25">
      <c r="M48" s="41"/>
      <c r="N48" s="41"/>
      <c r="P48" s="41"/>
      <c r="Q48" s="40"/>
      <c r="R48" s="40"/>
      <c r="S48" s="40"/>
      <c r="T48" s="40"/>
      <c r="U48" s="30"/>
    </row>
    <row r="49" spans="13:21" ht="15.75" customHeight="1" x14ac:dyDescent="0.25">
      <c r="M49" s="41"/>
      <c r="N49" s="41"/>
      <c r="P49" s="41"/>
      <c r="Q49" s="40"/>
      <c r="R49" s="40"/>
      <c r="S49" s="40"/>
      <c r="T49" s="40"/>
      <c r="U49" s="30"/>
    </row>
    <row r="50" spans="13:21" ht="15.75" customHeight="1" x14ac:dyDescent="0.25">
      <c r="M50" s="41"/>
      <c r="N50" s="41"/>
      <c r="P50" s="41"/>
      <c r="Q50" s="40"/>
      <c r="R50" s="40"/>
      <c r="S50" s="40"/>
      <c r="T50" s="40"/>
      <c r="U50" s="30"/>
    </row>
    <row r="51" spans="13:21" ht="15.75" customHeight="1" x14ac:dyDescent="0.25">
      <c r="M51" s="41"/>
      <c r="N51" s="41"/>
      <c r="P51" s="41"/>
      <c r="Q51" s="40"/>
      <c r="R51" s="40"/>
      <c r="S51" s="40"/>
      <c r="T51" s="40"/>
      <c r="U51" s="30"/>
    </row>
    <row r="52" spans="13:21" ht="15.75" customHeight="1" x14ac:dyDescent="0.25">
      <c r="M52" s="41"/>
      <c r="N52" s="41"/>
      <c r="P52" s="41"/>
      <c r="Q52" s="40"/>
      <c r="R52" s="40"/>
      <c r="S52" s="40"/>
      <c r="T52" s="40"/>
      <c r="U52" s="30"/>
    </row>
    <row r="53" spans="13:21" ht="15.75" customHeight="1" x14ac:dyDescent="0.25">
      <c r="M53" s="41"/>
      <c r="N53" s="41"/>
      <c r="P53" s="41"/>
      <c r="Q53" s="40"/>
      <c r="R53" s="40"/>
      <c r="S53" s="40"/>
      <c r="T53" s="40"/>
      <c r="U53" s="30"/>
    </row>
    <row r="54" spans="13:21" ht="15.75" customHeight="1" x14ac:dyDescent="0.25">
      <c r="M54" s="41"/>
      <c r="N54" s="41"/>
      <c r="P54" s="41"/>
      <c r="Q54" s="40"/>
      <c r="R54" s="40"/>
      <c r="S54" s="40"/>
      <c r="T54" s="40"/>
      <c r="U54" s="30"/>
    </row>
    <row r="55" spans="13:21" ht="15.75" customHeight="1" x14ac:dyDescent="0.25">
      <c r="M55" s="41"/>
      <c r="N55" s="41"/>
      <c r="P55" s="41"/>
      <c r="Q55" s="40"/>
      <c r="R55" s="40"/>
      <c r="S55" s="40"/>
      <c r="T55" s="40"/>
      <c r="U55" s="30"/>
    </row>
    <row r="56" spans="13:21" ht="15.75" customHeight="1" x14ac:dyDescent="0.25">
      <c r="M56" s="41"/>
      <c r="N56" s="41"/>
      <c r="P56" s="41"/>
      <c r="Q56" s="40"/>
      <c r="R56" s="40"/>
      <c r="S56" s="40"/>
      <c r="T56" s="40"/>
      <c r="U56" s="30"/>
    </row>
    <row r="57" spans="13:21" ht="15.75" customHeight="1" x14ac:dyDescent="0.25">
      <c r="M57" s="41"/>
      <c r="N57" s="41"/>
      <c r="P57" s="41"/>
      <c r="Q57" s="40"/>
      <c r="R57" s="40"/>
      <c r="S57" s="40"/>
      <c r="T57" s="40"/>
      <c r="U57" s="30"/>
    </row>
    <row r="58" spans="13:21" ht="15.75" customHeight="1" x14ac:dyDescent="0.25">
      <c r="M58" s="41"/>
      <c r="N58" s="41"/>
      <c r="P58" s="41"/>
      <c r="Q58" s="40"/>
      <c r="R58" s="40"/>
      <c r="S58" s="40"/>
      <c r="T58" s="40"/>
      <c r="U58" s="30"/>
    </row>
    <row r="59" spans="13:21" ht="15.75" customHeight="1" x14ac:dyDescent="0.25">
      <c r="M59" s="41"/>
      <c r="N59" s="41"/>
      <c r="P59" s="41"/>
      <c r="Q59" s="40"/>
      <c r="R59" s="40"/>
      <c r="S59" s="40"/>
      <c r="T59" s="40"/>
      <c r="U59" s="30"/>
    </row>
    <row r="60" spans="13:21" ht="15.75" customHeight="1" x14ac:dyDescent="0.25">
      <c r="M60" s="41"/>
      <c r="N60" s="41"/>
      <c r="P60" s="41"/>
      <c r="Q60" s="40"/>
      <c r="R60" s="40"/>
      <c r="S60" s="40"/>
      <c r="T60" s="40"/>
      <c r="U60" s="30"/>
    </row>
    <row r="61" spans="13:21" ht="15.75" customHeight="1" x14ac:dyDescent="0.25">
      <c r="M61" s="41"/>
      <c r="N61" s="41"/>
      <c r="P61" s="41"/>
      <c r="Q61" s="40"/>
      <c r="R61" s="40"/>
      <c r="S61" s="40"/>
      <c r="T61" s="40"/>
      <c r="U61" s="30"/>
    </row>
    <row r="62" spans="13:21" ht="15.75" customHeight="1" x14ac:dyDescent="0.25">
      <c r="M62" s="41"/>
      <c r="N62" s="41"/>
      <c r="P62" s="41"/>
      <c r="Q62" s="40"/>
      <c r="R62" s="40"/>
      <c r="S62" s="40"/>
      <c r="T62" s="40"/>
      <c r="U62" s="30"/>
    </row>
    <row r="63" spans="13:21" ht="15.75" customHeight="1" x14ac:dyDescent="0.25">
      <c r="M63" s="41"/>
      <c r="N63" s="41"/>
      <c r="P63" s="41"/>
      <c r="Q63" s="40"/>
      <c r="R63" s="40"/>
      <c r="S63" s="40"/>
      <c r="T63" s="40"/>
      <c r="U63" s="30"/>
    </row>
    <row r="64" spans="13:21" ht="15.75" customHeight="1" x14ac:dyDescent="0.25">
      <c r="M64" s="41"/>
      <c r="N64" s="41"/>
      <c r="P64" s="41"/>
      <c r="Q64" s="40"/>
      <c r="R64" s="40"/>
      <c r="S64" s="40"/>
      <c r="T64" s="40"/>
      <c r="U64" s="30"/>
    </row>
    <row r="65" spans="13:21" ht="15.75" customHeight="1" x14ac:dyDescent="0.25">
      <c r="M65" s="41"/>
      <c r="N65" s="41"/>
      <c r="P65" s="41"/>
      <c r="Q65" s="40"/>
      <c r="R65" s="40"/>
      <c r="S65" s="40"/>
      <c r="T65" s="40"/>
      <c r="U65" s="30"/>
    </row>
    <row r="66" spans="13:21" ht="15.75" customHeight="1" x14ac:dyDescent="0.25">
      <c r="M66" s="41"/>
      <c r="N66" s="41"/>
      <c r="P66" s="41"/>
      <c r="Q66" s="40"/>
      <c r="R66" s="40"/>
      <c r="S66" s="40"/>
      <c r="T66" s="40"/>
      <c r="U66" s="30"/>
    </row>
    <row r="67" spans="13:21" ht="15.75" customHeight="1" x14ac:dyDescent="0.25">
      <c r="M67" s="41"/>
      <c r="N67" s="41"/>
      <c r="P67" s="41"/>
      <c r="Q67" s="40"/>
      <c r="R67" s="40"/>
      <c r="S67" s="40"/>
      <c r="T67" s="40"/>
      <c r="U67" s="30"/>
    </row>
    <row r="68" spans="13:21" ht="15.75" customHeight="1" x14ac:dyDescent="0.25">
      <c r="M68" s="41"/>
      <c r="N68" s="41"/>
      <c r="P68" s="41"/>
      <c r="Q68" s="40"/>
      <c r="R68" s="40"/>
      <c r="S68" s="40"/>
      <c r="T68" s="40"/>
      <c r="U68" s="30"/>
    </row>
    <row r="69" spans="13:21" ht="15.75" customHeight="1" x14ac:dyDescent="0.25">
      <c r="M69" s="41"/>
      <c r="N69" s="41"/>
      <c r="P69" s="41"/>
      <c r="Q69" s="40"/>
      <c r="R69" s="40"/>
      <c r="S69" s="40"/>
      <c r="T69" s="40"/>
      <c r="U69" s="30"/>
    </row>
    <row r="70" spans="13:21" ht="15.75" customHeight="1" x14ac:dyDescent="0.25">
      <c r="M70" s="41"/>
      <c r="N70" s="41"/>
      <c r="P70" s="41"/>
      <c r="Q70" s="40"/>
      <c r="R70" s="40"/>
      <c r="S70" s="40"/>
      <c r="T70" s="40"/>
      <c r="U70" s="30"/>
    </row>
    <row r="71" spans="13:21" ht="15.75" customHeight="1" x14ac:dyDescent="0.25">
      <c r="M71" s="41"/>
      <c r="N71" s="41"/>
      <c r="P71" s="41"/>
      <c r="Q71" s="40"/>
      <c r="R71" s="40"/>
      <c r="S71" s="40"/>
      <c r="T71" s="40"/>
      <c r="U71" s="30"/>
    </row>
    <row r="72" spans="13:21" ht="15.75" customHeight="1" x14ac:dyDescent="0.25">
      <c r="M72" s="41"/>
      <c r="N72" s="41"/>
      <c r="P72" s="41"/>
      <c r="Q72" s="40"/>
      <c r="R72" s="40"/>
      <c r="S72" s="40"/>
      <c r="T72" s="40"/>
      <c r="U72" s="30"/>
    </row>
    <row r="73" spans="13:21" ht="15.75" customHeight="1" x14ac:dyDescent="0.25">
      <c r="M73" s="41"/>
      <c r="N73" s="41"/>
      <c r="P73" s="41"/>
      <c r="Q73" s="40"/>
      <c r="R73" s="40"/>
      <c r="S73" s="40"/>
      <c r="T73" s="40"/>
      <c r="U73" s="30"/>
    </row>
    <row r="74" spans="13:21" ht="15.75" customHeight="1" x14ac:dyDescent="0.25">
      <c r="M74" s="41"/>
      <c r="N74" s="41"/>
      <c r="P74" s="41"/>
      <c r="Q74" s="40"/>
      <c r="R74" s="40"/>
      <c r="S74" s="40"/>
      <c r="T74" s="40"/>
      <c r="U74" s="30"/>
    </row>
    <row r="75" spans="13:21" ht="15.75" customHeight="1" x14ac:dyDescent="0.25">
      <c r="M75" s="41"/>
      <c r="N75" s="41"/>
      <c r="P75" s="41"/>
      <c r="Q75" s="40"/>
      <c r="R75" s="40"/>
      <c r="S75" s="40"/>
      <c r="T75" s="40"/>
      <c r="U75" s="30"/>
    </row>
    <row r="76" spans="13:21" ht="15" customHeight="1" x14ac:dyDescent="0.25">
      <c r="M76" s="41"/>
      <c r="N76" s="41"/>
      <c r="P76" s="41"/>
    </row>
    <row r="77" spans="13:21" ht="15" customHeight="1" x14ac:dyDescent="0.25">
      <c r="M77" s="41"/>
      <c r="N77" s="41"/>
      <c r="P77" s="41"/>
    </row>
    <row r="78" spans="13:21" ht="15" customHeight="1" x14ac:dyDescent="0.25">
      <c r="M78" s="40"/>
      <c r="N78" s="40"/>
      <c r="P78" s="40"/>
    </row>
    <row r="79" spans="13:21" ht="15" customHeight="1" x14ac:dyDescent="0.25">
      <c r="M79" s="40"/>
      <c r="N79" s="40"/>
      <c r="P79" s="40"/>
    </row>
    <row r="80" spans="13:21" ht="15" customHeight="1" x14ac:dyDescent="0.25">
      <c r="M80" s="40"/>
      <c r="N80" s="40"/>
      <c r="P80" s="40"/>
    </row>
    <row r="91" spans="1:1" ht="15.75" customHeight="1" x14ac:dyDescent="0.25">
      <c r="A91" s="42"/>
    </row>
    <row r="92" spans="1:1" ht="15.75" customHeight="1" x14ac:dyDescent="0.25">
      <c r="A92" s="42"/>
    </row>
    <row r="93" spans="1:1" ht="15.75" customHeight="1" x14ac:dyDescent="0.25">
      <c r="A93" s="42"/>
    </row>
    <row r="94" spans="1:1" ht="15.75" customHeight="1" x14ac:dyDescent="0.25">
      <c r="A94" s="42"/>
    </row>
    <row r="95" spans="1:1" ht="15.75" customHeight="1" x14ac:dyDescent="0.25">
      <c r="A95" s="42"/>
    </row>
    <row r="96" spans="1:1" ht="15.75" customHeight="1" x14ac:dyDescent="0.25">
      <c r="A96" s="42"/>
    </row>
    <row r="97" spans="1:1" ht="15.75" customHeight="1" x14ac:dyDescent="0.25">
      <c r="A97" s="42"/>
    </row>
    <row r="98" spans="1:1" ht="15.75" customHeight="1" x14ac:dyDescent="0.25">
      <c r="A98" s="42"/>
    </row>
    <row r="99" spans="1:1" ht="15.75" customHeight="1" x14ac:dyDescent="0.25">
      <c r="A99" s="42"/>
    </row>
    <row r="100" spans="1:1" ht="15.75" customHeight="1" x14ac:dyDescent="0.25">
      <c r="A100" s="42"/>
    </row>
  </sheetData>
  <mergeCells count="5">
    <mergeCell ref="A36:B36"/>
    <mergeCell ref="C36:D36"/>
    <mergeCell ref="B39:C39"/>
    <mergeCell ref="B40:C40"/>
    <mergeCell ref="M25:N25"/>
  </mergeCells>
  <conditionalFormatting sqref="A2:F2 H2:K13 E3:F13 A3:D32 E14:K32">
    <cfRule type="expression" dxfId="142" priority="1">
      <formula>$T2&gt;5</formula>
    </cfRule>
  </conditionalFormatting>
  <conditionalFormatting sqref="G3:G4">
    <cfRule type="expression" dxfId="141" priority="2">
      <formula>$T3&gt;5</formula>
    </cfRule>
  </conditionalFormatting>
  <conditionalFormatting sqref="L2:L26">
    <cfRule type="expression" dxfId="140" priority="4">
      <formula>$U2&gt;5</formula>
    </cfRule>
  </conditionalFormatting>
  <hyperlinks>
    <hyperlink ref="F28" r:id="rId1" xr:uid="{00000000-0004-0000-0C00-000000000000}"/>
  </hyperlinks>
  <pageMargins left="0.7" right="0.7" top="0.75" bottom="0.75" header="0" footer="0"/>
  <pageSetup orientation="landscape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0000"/>
  </sheetPr>
  <dimension ref="A1:AP102"/>
  <sheetViews>
    <sheetView topLeftCell="M1" workbookViewId="0">
      <pane ySplit="1" topLeftCell="A2" activePane="bottomLeft" state="frozen"/>
      <selection activeCell="M1" sqref="M1"/>
      <selection pane="bottomLeft" activeCell="B3" sqref="B3"/>
    </sheetView>
  </sheetViews>
  <sheetFormatPr defaultColWidth="14.42578125" defaultRowHeight="15" customHeight="1" x14ac:dyDescent="0.25"/>
  <cols>
    <col min="1" max="1" width="9.42578125" customWidth="1"/>
    <col min="2" max="2" width="8.85546875" customWidth="1"/>
    <col min="3" max="3" width="9.28515625" customWidth="1"/>
    <col min="4" max="5" width="8.28515625" customWidth="1"/>
    <col min="6" max="8" width="8" customWidth="1"/>
    <col min="9" max="9" width="8.28515625" customWidth="1"/>
    <col min="10" max="10" width="8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10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9.7109375" customWidth="1"/>
    <col min="21" max="21" width="8.28515625" customWidth="1"/>
    <col min="22" max="22" width="8" customWidth="1"/>
    <col min="23" max="25" width="8.28515625" customWidth="1"/>
    <col min="26" max="26" width="8" customWidth="1"/>
    <col min="27" max="27" width="8.28515625" customWidth="1"/>
    <col min="28" max="28" width="8" customWidth="1"/>
    <col min="29" max="29" width="9.28515625" customWidth="1"/>
    <col min="30" max="30" width="12.85546875" customWidth="1"/>
    <col min="31" max="31" width="12.7109375" customWidth="1"/>
    <col min="32" max="32" width="9.140625" customWidth="1"/>
    <col min="33" max="33" width="10.28515625" customWidth="1"/>
    <col min="34" max="34" width="14.28515625" customWidth="1"/>
    <col min="35" max="35" width="9.42578125" customWidth="1"/>
    <col min="36" max="36" width="12.42578125" customWidth="1"/>
    <col min="37" max="37" width="8.5703125" customWidth="1"/>
    <col min="38" max="38" width="11.28515625" customWidth="1"/>
    <col min="39" max="42" width="9.140625" customWidth="1"/>
  </cols>
  <sheetData>
    <row r="1" spans="1:42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33"/>
      <c r="Y1" s="1233"/>
      <c r="Z1" s="1220"/>
      <c r="AA1" s="1232" t="s">
        <v>43</v>
      </c>
      <c r="AB1" s="1233"/>
      <c r="AC1" s="1234"/>
      <c r="AD1" s="1219" t="s">
        <v>44</v>
      </c>
      <c r="AE1" s="1220"/>
      <c r="AF1" s="1243" t="s">
        <v>45</v>
      </c>
      <c r="AG1" s="1234"/>
      <c r="AH1" s="43"/>
      <c r="AI1" s="43"/>
      <c r="AJ1" s="44"/>
      <c r="AK1" s="44"/>
      <c r="AL1" s="44"/>
      <c r="AM1" s="44"/>
      <c r="AN1" s="43"/>
      <c r="AO1" s="43"/>
      <c r="AP1" s="43"/>
    </row>
    <row r="2" spans="1:42" ht="15.75" x14ac:dyDescent="0.25">
      <c r="A2" s="48" t="s">
        <v>46</v>
      </c>
      <c r="B2" s="276" t="s">
        <v>47</v>
      </c>
      <c r="C2" s="277" t="s">
        <v>48</v>
      </c>
      <c r="D2" s="48" t="s">
        <v>46</v>
      </c>
      <c r="E2" s="49" t="s">
        <v>47</v>
      </c>
      <c r="F2" s="276" t="s">
        <v>49</v>
      </c>
      <c r="G2" s="278" t="s">
        <v>49</v>
      </c>
      <c r="H2" s="279" t="s">
        <v>46</v>
      </c>
      <c r="I2" s="280" t="s">
        <v>49</v>
      </c>
      <c r="J2" s="281" t="s">
        <v>47</v>
      </c>
      <c r="K2" s="276" t="s">
        <v>46</v>
      </c>
      <c r="L2" s="280" t="s">
        <v>50</v>
      </c>
      <c r="M2" s="282" t="s">
        <v>51</v>
      </c>
      <c r="N2" s="276" t="s">
        <v>52</v>
      </c>
      <c r="O2" s="280" t="s">
        <v>53</v>
      </c>
      <c r="P2" s="277" t="s">
        <v>50</v>
      </c>
      <c r="Q2" s="283" t="s">
        <v>54</v>
      </c>
      <c r="R2" s="276" t="s">
        <v>47</v>
      </c>
      <c r="S2" s="283" t="s">
        <v>55</v>
      </c>
      <c r="T2" s="276" t="s">
        <v>47</v>
      </c>
      <c r="U2" s="283" t="s">
        <v>148</v>
      </c>
      <c r="V2" s="276" t="s">
        <v>47</v>
      </c>
      <c r="W2" s="45" t="s">
        <v>57</v>
      </c>
      <c r="X2" s="284" t="s">
        <v>47</v>
      </c>
      <c r="Y2" s="285" t="s">
        <v>201</v>
      </c>
      <c r="Z2" s="276" t="s">
        <v>47</v>
      </c>
      <c r="AA2" s="283" t="s">
        <v>50</v>
      </c>
      <c r="AB2" s="49" t="s">
        <v>13</v>
      </c>
      <c r="AC2" s="276" t="s">
        <v>52</v>
      </c>
      <c r="AD2" s="286" t="s">
        <v>50</v>
      </c>
      <c r="AE2" s="287" t="s">
        <v>52</v>
      </c>
      <c r="AF2" s="286" t="s">
        <v>50</v>
      </c>
      <c r="AG2" s="288" t="s">
        <v>52</v>
      </c>
      <c r="AJ2" s="30"/>
      <c r="AK2" s="30"/>
      <c r="AL2" s="30"/>
      <c r="AM2" s="30"/>
    </row>
    <row r="3" spans="1:42" x14ac:dyDescent="0.25">
      <c r="A3" s="449">
        <v>2540</v>
      </c>
      <c r="B3" s="450">
        <v>44010</v>
      </c>
      <c r="C3" s="451"/>
      <c r="D3" s="452">
        <v>100.73</v>
      </c>
      <c r="E3" s="154">
        <v>44011</v>
      </c>
      <c r="F3" s="453"/>
      <c r="G3" s="454"/>
      <c r="H3" s="455">
        <v>23.8</v>
      </c>
      <c r="I3" s="456"/>
      <c r="J3" s="457"/>
      <c r="K3" s="458"/>
      <c r="L3" s="459"/>
      <c r="M3" s="460" t="s">
        <v>202</v>
      </c>
      <c r="N3" s="461">
        <v>5.99</v>
      </c>
      <c r="O3" s="462">
        <f>AC27-AG6-AE3</f>
        <v>573.29999999999995</v>
      </c>
      <c r="P3" s="463">
        <v>0</v>
      </c>
      <c r="Q3" s="464">
        <v>50</v>
      </c>
      <c r="R3" s="465">
        <v>44011</v>
      </c>
      <c r="S3" s="466">
        <v>100</v>
      </c>
      <c r="T3" s="467"/>
      <c r="U3" s="468">
        <v>50</v>
      </c>
      <c r="V3" s="469">
        <v>44011</v>
      </c>
      <c r="W3" s="470"/>
      <c r="X3" s="471"/>
      <c r="Y3" s="464"/>
      <c r="Z3" s="465"/>
      <c r="AA3" s="472"/>
      <c r="AB3" s="473" t="s">
        <v>60</v>
      </c>
      <c r="AC3" s="298">
        <v>275</v>
      </c>
      <c r="AD3" s="299">
        <v>0</v>
      </c>
      <c r="AE3" s="300">
        <v>220</v>
      </c>
      <c r="AF3" s="301">
        <f>AD6+AF6</f>
        <v>4505.6000000000004</v>
      </c>
      <c r="AG3" s="302">
        <f>AG6+AE6</f>
        <v>1665.3400000000001</v>
      </c>
      <c r="AJ3" s="30"/>
      <c r="AK3" s="30"/>
      <c r="AL3" s="30"/>
    </row>
    <row r="4" spans="1:42" ht="18.75" x14ac:dyDescent="0.25">
      <c r="A4" s="474">
        <v>1965.6</v>
      </c>
      <c r="B4" s="450">
        <v>44034</v>
      </c>
      <c r="C4" s="475"/>
      <c r="D4" s="153">
        <v>109</v>
      </c>
      <c r="E4" s="154">
        <v>44020</v>
      </c>
      <c r="F4" s="476"/>
      <c r="G4" s="477"/>
      <c r="H4" s="478">
        <v>23.8</v>
      </c>
      <c r="I4" s="479"/>
      <c r="J4" s="457"/>
      <c r="K4" s="480"/>
      <c r="L4" s="481"/>
      <c r="M4" s="482" t="s">
        <v>203</v>
      </c>
      <c r="N4" s="430">
        <v>36.799999999999997</v>
      </c>
      <c r="O4" s="483" t="s">
        <v>61</v>
      </c>
      <c r="P4" s="484"/>
      <c r="Q4" s="485">
        <v>50</v>
      </c>
      <c r="R4" s="465"/>
      <c r="S4" s="486">
        <v>20</v>
      </c>
      <c r="T4" s="467"/>
      <c r="U4" s="487">
        <v>100</v>
      </c>
      <c r="V4" s="469">
        <v>44018</v>
      </c>
      <c r="W4" s="488"/>
      <c r="X4" s="489"/>
      <c r="Y4" s="464"/>
      <c r="Z4" s="465"/>
      <c r="AA4" s="490"/>
      <c r="AB4" s="473"/>
      <c r="AC4" s="310"/>
      <c r="AD4" s="1238" t="s">
        <v>63</v>
      </c>
      <c r="AE4" s="1245"/>
      <c r="AF4" s="1246" t="s">
        <v>64</v>
      </c>
      <c r="AG4" s="1237"/>
      <c r="AJ4" s="30"/>
      <c r="AK4" s="112"/>
      <c r="AL4" s="30"/>
    </row>
    <row r="5" spans="1:42" ht="15.75" x14ac:dyDescent="0.25">
      <c r="A5" s="491"/>
      <c r="B5" s="450"/>
      <c r="C5" s="475"/>
      <c r="D5" s="153"/>
      <c r="E5" s="154">
        <v>44025</v>
      </c>
      <c r="F5" s="476">
        <v>102</v>
      </c>
      <c r="G5" s="477"/>
      <c r="H5" s="478">
        <v>4.5999999999999996</v>
      </c>
      <c r="I5" s="479"/>
      <c r="J5" s="457"/>
      <c r="K5" s="480"/>
      <c r="L5" s="492"/>
      <c r="M5" s="493" t="s">
        <v>204</v>
      </c>
      <c r="N5" s="430">
        <v>29.7</v>
      </c>
      <c r="O5" s="494">
        <f>AD9</f>
        <v>150</v>
      </c>
      <c r="P5" s="495"/>
      <c r="Q5" s="485">
        <v>50</v>
      </c>
      <c r="R5" s="465"/>
      <c r="S5" s="486">
        <v>4</v>
      </c>
      <c r="T5" s="467"/>
      <c r="U5" s="487">
        <v>50</v>
      </c>
      <c r="V5" s="469"/>
      <c r="W5" s="488"/>
      <c r="X5" s="489"/>
      <c r="Y5" s="464"/>
      <c r="Z5" s="465"/>
      <c r="AA5" s="490"/>
      <c r="AB5" s="473">
        <v>44012</v>
      </c>
      <c r="AC5" s="496">
        <v>500</v>
      </c>
      <c r="AD5" s="119" t="s">
        <v>50</v>
      </c>
      <c r="AE5" s="313" t="s">
        <v>52</v>
      </c>
      <c r="AF5" s="121" t="s">
        <v>50</v>
      </c>
      <c r="AG5" s="122" t="s">
        <v>52</v>
      </c>
      <c r="AJ5" s="30"/>
      <c r="AK5" s="112"/>
      <c r="AL5" s="30"/>
    </row>
    <row r="6" spans="1:42" x14ac:dyDescent="0.25">
      <c r="A6" s="491"/>
      <c r="B6" s="450"/>
      <c r="C6" s="475"/>
      <c r="D6" s="153">
        <v>103.01</v>
      </c>
      <c r="E6" s="154">
        <v>44030</v>
      </c>
      <c r="F6" s="476"/>
      <c r="G6" s="477"/>
      <c r="H6" s="478">
        <v>2.2999999999999998</v>
      </c>
      <c r="I6" s="479"/>
      <c r="J6" s="457"/>
      <c r="K6" s="480"/>
      <c r="L6" s="492"/>
      <c r="M6" s="429"/>
      <c r="N6" s="430"/>
      <c r="O6" s="497"/>
      <c r="P6" s="484"/>
      <c r="Q6" s="485">
        <v>20</v>
      </c>
      <c r="R6" s="465"/>
      <c r="S6" s="486">
        <v>1</v>
      </c>
      <c r="T6" s="467"/>
      <c r="U6" s="487">
        <v>10</v>
      </c>
      <c r="V6" s="469"/>
      <c r="W6" s="488"/>
      <c r="X6" s="489"/>
      <c r="Y6" s="464"/>
      <c r="Z6" s="465"/>
      <c r="AA6" s="490"/>
      <c r="AB6" s="473">
        <v>44024</v>
      </c>
      <c r="AC6" s="496">
        <v>500</v>
      </c>
      <c r="AD6" s="316">
        <f>A27+L27</f>
        <v>4505.6000000000004</v>
      </c>
      <c r="AE6" s="317">
        <f>D27+H27+K27+M27</f>
        <v>683.64</v>
      </c>
      <c r="AF6" s="128">
        <f>L27+C27</f>
        <v>0</v>
      </c>
      <c r="AG6" s="129">
        <f>F27+G27+I27+N27+Q27+S27+U27+W27+Y27</f>
        <v>981.7</v>
      </c>
      <c r="AJ6" s="30"/>
      <c r="AK6" s="112"/>
      <c r="AL6" s="30"/>
    </row>
    <row r="7" spans="1:42" ht="18.75" x14ac:dyDescent="0.25">
      <c r="A7" s="491"/>
      <c r="B7" s="450"/>
      <c r="C7" s="475"/>
      <c r="D7" s="153">
        <v>99</v>
      </c>
      <c r="E7" s="154">
        <v>44033</v>
      </c>
      <c r="F7" s="476"/>
      <c r="G7" s="477"/>
      <c r="H7" s="478">
        <v>4.5999999999999996</v>
      </c>
      <c r="I7" s="498"/>
      <c r="J7" s="457"/>
      <c r="K7" s="480"/>
      <c r="L7" s="492"/>
      <c r="M7" s="429"/>
      <c r="N7" s="430"/>
      <c r="O7" s="499"/>
      <c r="P7" s="500"/>
      <c r="Q7" s="485">
        <v>4</v>
      </c>
      <c r="R7" s="465"/>
      <c r="S7" s="486">
        <v>100</v>
      </c>
      <c r="T7" s="467"/>
      <c r="U7" s="487">
        <v>10</v>
      </c>
      <c r="V7" s="469"/>
      <c r="W7" s="488"/>
      <c r="X7" s="489"/>
      <c r="Y7" s="464"/>
      <c r="Z7" s="465"/>
      <c r="AA7" s="490"/>
      <c r="AB7" s="473">
        <v>44030</v>
      </c>
      <c r="AC7" s="496">
        <v>500</v>
      </c>
      <c r="AD7" s="320" t="s">
        <v>66</v>
      </c>
      <c r="AE7" s="321" t="s">
        <v>67</v>
      </c>
      <c r="AJ7" s="30"/>
      <c r="AK7" s="30"/>
      <c r="AL7" s="30"/>
    </row>
    <row r="8" spans="1:42" x14ac:dyDescent="0.25">
      <c r="A8" s="491"/>
      <c r="B8" s="450"/>
      <c r="C8" s="475"/>
      <c r="D8" s="153">
        <v>111.01</v>
      </c>
      <c r="E8" s="154">
        <v>44034</v>
      </c>
      <c r="F8" s="476"/>
      <c r="G8" s="477"/>
      <c r="H8" s="478">
        <v>29.5</v>
      </c>
      <c r="I8" s="498"/>
      <c r="J8" s="457"/>
      <c r="K8" s="480"/>
      <c r="L8" s="492"/>
      <c r="M8" s="429"/>
      <c r="N8" s="430"/>
      <c r="O8" s="501"/>
      <c r="P8" s="502"/>
      <c r="Q8" s="485">
        <v>100</v>
      </c>
      <c r="R8" s="465"/>
      <c r="S8" s="486">
        <v>5</v>
      </c>
      <c r="T8" s="467" t="s">
        <v>205</v>
      </c>
      <c r="U8" s="503">
        <v>30</v>
      </c>
      <c r="V8" s="504">
        <v>44030</v>
      </c>
      <c r="W8" s="505"/>
      <c r="X8" s="506"/>
      <c r="Y8" s="507"/>
      <c r="Z8" s="465"/>
      <c r="AA8" s="490"/>
      <c r="AB8" s="473"/>
      <c r="AC8" s="310"/>
      <c r="AD8" s="326">
        <v>150</v>
      </c>
      <c r="AE8" s="327">
        <v>0</v>
      </c>
      <c r="AJ8" s="30"/>
      <c r="AK8" s="30"/>
      <c r="AL8" s="30"/>
    </row>
    <row r="9" spans="1:42" x14ac:dyDescent="0.25">
      <c r="A9" s="491"/>
      <c r="B9" s="450"/>
      <c r="C9" s="475"/>
      <c r="D9" s="153"/>
      <c r="E9" s="154"/>
      <c r="F9" s="476"/>
      <c r="G9" s="477"/>
      <c r="H9" s="508">
        <v>29.5</v>
      </c>
      <c r="I9" s="498"/>
      <c r="J9" s="457"/>
      <c r="K9" s="480"/>
      <c r="L9" s="492"/>
      <c r="M9" s="429"/>
      <c r="N9" s="430"/>
      <c r="O9" s="499"/>
      <c r="P9" s="500"/>
      <c r="Q9" s="485">
        <v>10</v>
      </c>
      <c r="R9" s="465"/>
      <c r="S9" s="486"/>
      <c r="T9" s="467"/>
      <c r="U9" s="487"/>
      <c r="V9" s="469"/>
      <c r="W9" s="488"/>
      <c r="X9" s="489"/>
      <c r="Y9" s="464"/>
      <c r="Z9" s="465"/>
      <c r="AA9" s="490"/>
      <c r="AB9" s="473"/>
      <c r="AC9" s="310"/>
      <c r="AD9" s="1244">
        <f>AD8-AE8</f>
        <v>150</v>
      </c>
      <c r="AE9" s="1222"/>
      <c r="AJ9" s="30"/>
      <c r="AK9" s="30"/>
      <c r="AL9" s="146"/>
    </row>
    <row r="10" spans="1:42" x14ac:dyDescent="0.25">
      <c r="A10" s="491"/>
      <c r="B10" s="450"/>
      <c r="C10" s="475"/>
      <c r="D10" s="153"/>
      <c r="E10" s="154">
        <v>44039</v>
      </c>
      <c r="F10" s="476"/>
      <c r="G10" s="477"/>
      <c r="H10" s="478"/>
      <c r="I10" s="498"/>
      <c r="J10" s="457"/>
      <c r="K10" s="480"/>
      <c r="L10" s="492"/>
      <c r="M10" s="429"/>
      <c r="N10" s="430"/>
      <c r="O10" s="499"/>
      <c r="P10" s="500"/>
      <c r="Q10" s="485">
        <v>20</v>
      </c>
      <c r="R10" s="465"/>
      <c r="S10" s="486"/>
      <c r="T10" s="467"/>
      <c r="U10" s="487"/>
      <c r="V10" s="469"/>
      <c r="W10" s="488"/>
      <c r="X10" s="489"/>
      <c r="Y10" s="464"/>
      <c r="Z10" s="465"/>
      <c r="AA10" s="490"/>
      <c r="AB10" s="473"/>
      <c r="AC10" s="310"/>
      <c r="AJ10" s="30"/>
      <c r="AK10" s="30"/>
      <c r="AL10" s="30"/>
    </row>
    <row r="11" spans="1:42" x14ac:dyDescent="0.25">
      <c r="A11" s="491"/>
      <c r="B11" s="450"/>
      <c r="C11" s="475"/>
      <c r="D11" s="153"/>
      <c r="E11" s="154">
        <v>44047</v>
      </c>
      <c r="F11" s="476"/>
      <c r="G11" s="477"/>
      <c r="H11" s="478"/>
      <c r="I11" s="498"/>
      <c r="J11" s="457"/>
      <c r="K11" s="480"/>
      <c r="L11" s="492"/>
      <c r="M11" s="429"/>
      <c r="N11" s="430"/>
      <c r="O11" s="499"/>
      <c r="P11" s="500"/>
      <c r="Q11" s="485">
        <v>40</v>
      </c>
      <c r="R11" s="465">
        <v>44030</v>
      </c>
      <c r="S11" s="486"/>
      <c r="T11" s="467"/>
      <c r="U11" s="487"/>
      <c r="V11" s="469"/>
      <c r="W11" s="488"/>
      <c r="X11" s="489"/>
      <c r="Y11" s="464"/>
      <c r="Z11" s="465"/>
      <c r="AA11" s="490"/>
      <c r="AB11" s="473"/>
      <c r="AC11" s="310"/>
      <c r="AJ11" s="30"/>
      <c r="AK11" s="30"/>
      <c r="AL11" s="30"/>
    </row>
    <row r="12" spans="1:42" x14ac:dyDescent="0.25">
      <c r="A12" s="491"/>
      <c r="B12" s="450"/>
      <c r="C12" s="475"/>
      <c r="D12" s="153"/>
      <c r="E12" s="154">
        <v>44051</v>
      </c>
      <c r="F12" s="476"/>
      <c r="G12" s="477"/>
      <c r="H12" s="478"/>
      <c r="I12" s="498"/>
      <c r="J12" s="457"/>
      <c r="K12" s="480"/>
      <c r="L12" s="492"/>
      <c r="M12" s="429"/>
      <c r="N12" s="430"/>
      <c r="O12" s="499"/>
      <c r="P12" s="500"/>
      <c r="Q12" s="485">
        <v>10</v>
      </c>
      <c r="R12" s="465"/>
      <c r="S12" s="486"/>
      <c r="T12" s="467"/>
      <c r="U12" s="487"/>
      <c r="V12" s="469"/>
      <c r="W12" s="488"/>
      <c r="X12" s="489"/>
      <c r="Y12" s="464"/>
      <c r="Z12" s="465"/>
      <c r="AA12" s="490"/>
      <c r="AB12" s="473"/>
      <c r="AC12" s="310"/>
      <c r="AJ12" s="30"/>
      <c r="AK12" s="30"/>
      <c r="AL12" s="30"/>
    </row>
    <row r="13" spans="1:42" x14ac:dyDescent="0.25">
      <c r="A13" s="491"/>
      <c r="B13" s="450"/>
      <c r="C13" s="475"/>
      <c r="D13" s="153"/>
      <c r="E13" s="154"/>
      <c r="F13" s="476"/>
      <c r="G13" s="477"/>
      <c r="H13" s="478"/>
      <c r="I13" s="498"/>
      <c r="J13" s="457"/>
      <c r="K13" s="480"/>
      <c r="L13" s="492"/>
      <c r="M13" s="429"/>
      <c r="N13" s="430"/>
      <c r="O13" s="499"/>
      <c r="P13" s="500"/>
      <c r="Q13" s="485">
        <v>16</v>
      </c>
      <c r="R13" s="465" t="s">
        <v>206</v>
      </c>
      <c r="S13" s="486"/>
      <c r="T13" s="467"/>
      <c r="U13" s="487"/>
      <c r="V13" s="469"/>
      <c r="W13" s="488"/>
      <c r="X13" s="489"/>
      <c r="Y13" s="464"/>
      <c r="Z13" s="465"/>
      <c r="AA13" s="490"/>
      <c r="AB13" s="473"/>
      <c r="AC13" s="310"/>
      <c r="AD13" s="30"/>
      <c r="AE13" s="30"/>
      <c r="AF13" s="30"/>
      <c r="AG13" s="30"/>
      <c r="AI13" s="30"/>
      <c r="AJ13" s="30"/>
      <c r="AK13" s="30"/>
      <c r="AL13" s="30"/>
    </row>
    <row r="14" spans="1:42" x14ac:dyDescent="0.25">
      <c r="A14" s="491"/>
      <c r="B14" s="450"/>
      <c r="C14" s="475"/>
      <c r="D14" s="509"/>
      <c r="E14" s="154"/>
      <c r="F14" s="476"/>
      <c r="G14" s="477"/>
      <c r="H14" s="478"/>
      <c r="I14" s="498"/>
      <c r="J14" s="457"/>
      <c r="K14" s="480"/>
      <c r="L14" s="492"/>
      <c r="M14" s="429"/>
      <c r="N14" s="430"/>
      <c r="O14" s="499"/>
      <c r="P14" s="500"/>
      <c r="Q14" s="485"/>
      <c r="R14" s="465"/>
      <c r="S14" s="486"/>
      <c r="T14" s="467"/>
      <c r="U14" s="487"/>
      <c r="V14" s="469"/>
      <c r="W14" s="488"/>
      <c r="X14" s="489"/>
      <c r="Y14" s="464"/>
      <c r="Z14" s="465"/>
      <c r="AA14" s="490"/>
      <c r="AB14" s="473"/>
      <c r="AC14" s="310"/>
      <c r="AD14" s="30"/>
      <c r="AE14" s="30"/>
      <c r="AF14" s="30"/>
      <c r="AG14" s="30"/>
      <c r="AI14" s="30"/>
    </row>
    <row r="15" spans="1:42" x14ac:dyDescent="0.25">
      <c r="A15" s="491"/>
      <c r="B15" s="450"/>
      <c r="C15" s="475"/>
      <c r="D15" s="153"/>
      <c r="E15" s="154"/>
      <c r="F15" s="476"/>
      <c r="G15" s="477"/>
      <c r="H15" s="478"/>
      <c r="I15" s="498"/>
      <c r="J15" s="457"/>
      <c r="K15" s="480"/>
      <c r="L15" s="492"/>
      <c r="M15" s="429"/>
      <c r="N15" s="430"/>
      <c r="O15" s="499"/>
      <c r="P15" s="500"/>
      <c r="Q15" s="485"/>
      <c r="R15" s="465"/>
      <c r="S15" s="486"/>
      <c r="T15" s="467"/>
      <c r="U15" s="487"/>
      <c r="V15" s="469"/>
      <c r="W15" s="488"/>
      <c r="X15" s="489"/>
      <c r="Y15" s="464"/>
      <c r="Z15" s="465"/>
      <c r="AA15" s="490"/>
      <c r="AB15" s="473"/>
      <c r="AC15" s="310"/>
      <c r="AD15" s="30"/>
      <c r="AE15" s="30"/>
      <c r="AF15" s="30"/>
      <c r="AG15" s="30"/>
      <c r="AI15" s="30"/>
    </row>
    <row r="16" spans="1:42" x14ac:dyDescent="0.25">
      <c r="A16" s="491"/>
      <c r="B16" s="450"/>
      <c r="C16" s="475"/>
      <c r="D16" s="153"/>
      <c r="E16" s="154"/>
      <c r="F16" s="476"/>
      <c r="G16" s="477"/>
      <c r="H16" s="478"/>
      <c r="I16" s="498"/>
      <c r="J16" s="457"/>
      <c r="K16" s="480"/>
      <c r="L16" s="492"/>
      <c r="M16" s="429"/>
      <c r="N16" s="430"/>
      <c r="O16" s="499"/>
      <c r="P16" s="500"/>
      <c r="Q16" s="485"/>
      <c r="R16" s="465"/>
      <c r="S16" s="486"/>
      <c r="T16" s="467"/>
      <c r="U16" s="487"/>
      <c r="V16" s="469"/>
      <c r="W16" s="488"/>
      <c r="X16" s="489"/>
      <c r="Y16" s="464"/>
      <c r="Z16" s="465"/>
      <c r="AA16" s="490"/>
      <c r="AB16" s="473"/>
      <c r="AC16" s="310"/>
      <c r="AD16" s="30"/>
      <c r="AE16" s="30"/>
      <c r="AF16" s="30"/>
      <c r="AG16" s="30"/>
      <c r="AI16" s="30"/>
    </row>
    <row r="17" spans="1:39" x14ac:dyDescent="0.25">
      <c r="A17" s="491"/>
      <c r="B17" s="450"/>
      <c r="C17" s="475"/>
      <c r="D17" s="153"/>
      <c r="E17" s="154"/>
      <c r="F17" s="476"/>
      <c r="G17" s="477"/>
      <c r="H17" s="478"/>
      <c r="I17" s="498"/>
      <c r="J17" s="457"/>
      <c r="K17" s="480"/>
      <c r="L17" s="492"/>
      <c r="M17" s="429"/>
      <c r="N17" s="430"/>
      <c r="O17" s="499"/>
      <c r="P17" s="500"/>
      <c r="Q17" s="485"/>
      <c r="R17" s="465"/>
      <c r="S17" s="486"/>
      <c r="T17" s="467"/>
      <c r="U17" s="487"/>
      <c r="V17" s="469"/>
      <c r="W17" s="488"/>
      <c r="X17" s="489"/>
      <c r="Y17" s="464"/>
      <c r="Z17" s="465"/>
      <c r="AA17" s="490"/>
      <c r="AB17" s="473"/>
      <c r="AC17" s="310"/>
      <c r="AD17" s="30"/>
      <c r="AE17" s="30"/>
      <c r="AF17" s="30"/>
      <c r="AG17" s="30"/>
      <c r="AI17" s="30"/>
    </row>
    <row r="18" spans="1:39" x14ac:dyDescent="0.25">
      <c r="A18" s="491"/>
      <c r="B18" s="450"/>
      <c r="C18" s="475"/>
      <c r="D18" s="153"/>
      <c r="E18" s="154"/>
      <c r="F18" s="476"/>
      <c r="G18" s="477"/>
      <c r="H18" s="478"/>
      <c r="I18" s="498"/>
      <c r="J18" s="457"/>
      <c r="K18" s="480"/>
      <c r="L18" s="492"/>
      <c r="M18" s="429"/>
      <c r="N18" s="510"/>
      <c r="O18" s="499"/>
      <c r="P18" s="500"/>
      <c r="Q18" s="485"/>
      <c r="R18" s="465"/>
      <c r="S18" s="486"/>
      <c r="T18" s="467"/>
      <c r="U18" s="487"/>
      <c r="V18" s="469"/>
      <c r="W18" s="488"/>
      <c r="X18" s="489"/>
      <c r="Y18" s="464"/>
      <c r="Z18" s="465"/>
      <c r="AA18" s="490"/>
      <c r="AB18" s="473"/>
      <c r="AC18" s="310"/>
      <c r="AD18" s="30"/>
      <c r="AE18" s="30"/>
      <c r="AF18" s="30"/>
      <c r="AG18" s="30"/>
      <c r="AI18" s="30"/>
    </row>
    <row r="19" spans="1:39" x14ac:dyDescent="0.25">
      <c r="A19" s="491"/>
      <c r="B19" s="450"/>
      <c r="C19" s="475"/>
      <c r="D19" s="153"/>
      <c r="E19" s="154"/>
      <c r="F19" s="476"/>
      <c r="G19" s="477"/>
      <c r="H19" s="478"/>
      <c r="I19" s="498"/>
      <c r="J19" s="457"/>
      <c r="K19" s="480"/>
      <c r="L19" s="492"/>
      <c r="M19" s="429"/>
      <c r="N19" s="510"/>
      <c r="O19" s="499"/>
      <c r="P19" s="500"/>
      <c r="Q19" s="485"/>
      <c r="R19" s="465"/>
      <c r="S19" s="486"/>
      <c r="T19" s="467"/>
      <c r="U19" s="487"/>
      <c r="V19" s="469"/>
      <c r="W19" s="488"/>
      <c r="X19" s="489"/>
      <c r="Y19" s="464"/>
      <c r="Z19" s="465"/>
      <c r="AA19" s="490"/>
      <c r="AB19" s="473"/>
      <c r="AC19" s="310"/>
      <c r="AD19" s="30">
        <v>125</v>
      </c>
      <c r="AE19" s="30"/>
      <c r="AF19" s="30"/>
      <c r="AG19" s="30"/>
      <c r="AI19" s="30"/>
    </row>
    <row r="20" spans="1:39" x14ac:dyDescent="0.25">
      <c r="A20" s="491"/>
      <c r="B20" s="450"/>
      <c r="C20" s="475"/>
      <c r="D20" s="153"/>
      <c r="E20" s="154"/>
      <c r="F20" s="476"/>
      <c r="G20" s="477"/>
      <c r="H20" s="478"/>
      <c r="I20" s="498"/>
      <c r="J20" s="457"/>
      <c r="K20" s="480"/>
      <c r="L20" s="492"/>
      <c r="M20" s="493"/>
      <c r="N20" s="510"/>
      <c r="O20" s="499"/>
      <c r="P20" s="500"/>
      <c r="Q20" s="485"/>
      <c r="R20" s="465"/>
      <c r="S20" s="486"/>
      <c r="T20" s="467"/>
      <c r="U20" s="487"/>
      <c r="V20" s="469"/>
      <c r="W20" s="488"/>
      <c r="X20" s="489"/>
      <c r="Y20" s="464"/>
      <c r="Z20" s="465"/>
      <c r="AA20" s="490"/>
      <c r="AB20" s="473"/>
      <c r="AC20" s="310"/>
      <c r="AD20" s="30">
        <v>150</v>
      </c>
      <c r="AE20" s="30"/>
      <c r="AF20" s="30"/>
      <c r="AG20" s="30"/>
      <c r="AI20" s="30"/>
    </row>
    <row r="21" spans="1:39" ht="15.75" customHeight="1" x14ac:dyDescent="0.25">
      <c r="A21" s="491"/>
      <c r="B21" s="450"/>
      <c r="C21" s="475"/>
      <c r="D21" s="153"/>
      <c r="E21" s="154"/>
      <c r="F21" s="476"/>
      <c r="G21" s="477"/>
      <c r="H21" s="478"/>
      <c r="I21" s="498"/>
      <c r="J21" s="457"/>
      <c r="K21" s="480"/>
      <c r="L21" s="492"/>
      <c r="M21" s="493"/>
      <c r="N21" s="510"/>
      <c r="O21" s="499"/>
      <c r="P21" s="500"/>
      <c r="Q21" s="485"/>
      <c r="R21" s="465"/>
      <c r="S21" s="486"/>
      <c r="T21" s="467"/>
      <c r="U21" s="487"/>
      <c r="V21" s="469"/>
      <c r="W21" s="488"/>
      <c r="X21" s="489"/>
      <c r="Y21" s="464"/>
      <c r="Z21" s="465"/>
      <c r="AA21" s="490"/>
      <c r="AB21" s="473"/>
      <c r="AC21" s="310"/>
      <c r="AD21" s="30"/>
      <c r="AE21" s="30"/>
      <c r="AF21" s="30"/>
      <c r="AG21" s="30"/>
      <c r="AI21" s="30"/>
    </row>
    <row r="22" spans="1:39" ht="15.75" customHeight="1" x14ac:dyDescent="0.25">
      <c r="A22" s="491"/>
      <c r="B22" s="450"/>
      <c r="C22" s="475"/>
      <c r="D22" s="153"/>
      <c r="E22" s="154"/>
      <c r="F22" s="476"/>
      <c r="G22" s="477"/>
      <c r="H22" s="478"/>
      <c r="I22" s="498"/>
      <c r="J22" s="457"/>
      <c r="K22" s="480"/>
      <c r="L22" s="492"/>
      <c r="M22" s="493"/>
      <c r="N22" s="510"/>
      <c r="O22" s="499"/>
      <c r="P22" s="500"/>
      <c r="Q22" s="485"/>
      <c r="R22" s="465"/>
      <c r="S22" s="486"/>
      <c r="T22" s="467"/>
      <c r="U22" s="487"/>
      <c r="V22" s="469"/>
      <c r="W22" s="488"/>
      <c r="X22" s="489"/>
      <c r="Y22" s="464"/>
      <c r="Z22" s="465"/>
      <c r="AA22" s="490"/>
      <c r="AB22" s="473"/>
      <c r="AC22" s="310"/>
      <c r="AD22" s="30"/>
      <c r="AE22" s="30"/>
      <c r="AF22" s="30"/>
      <c r="AG22" s="30"/>
      <c r="AI22" s="30"/>
    </row>
    <row r="23" spans="1:39" ht="15.75" customHeight="1" x14ac:dyDescent="0.25">
      <c r="A23" s="491"/>
      <c r="B23" s="450"/>
      <c r="C23" s="475"/>
      <c r="D23" s="153"/>
      <c r="E23" s="154"/>
      <c r="F23" s="476"/>
      <c r="G23" s="477"/>
      <c r="H23" s="478"/>
      <c r="I23" s="498"/>
      <c r="J23" s="457"/>
      <c r="K23" s="480"/>
      <c r="L23" s="492"/>
      <c r="M23" s="493"/>
      <c r="N23" s="510"/>
      <c r="O23" s="499"/>
      <c r="P23" s="500"/>
      <c r="Q23" s="485"/>
      <c r="R23" s="465"/>
      <c r="S23" s="486"/>
      <c r="T23" s="467"/>
      <c r="U23" s="487"/>
      <c r="V23" s="469"/>
      <c r="W23" s="488"/>
      <c r="X23" s="489"/>
      <c r="Y23" s="464"/>
      <c r="Z23" s="465"/>
      <c r="AA23" s="490"/>
      <c r="AB23" s="473"/>
      <c r="AC23" s="310"/>
      <c r="AD23" s="30"/>
      <c r="AE23" s="30"/>
      <c r="AF23" s="30"/>
      <c r="AG23" s="30"/>
      <c r="AI23" s="30"/>
    </row>
    <row r="24" spans="1:39" ht="15.75" customHeight="1" x14ac:dyDescent="0.25">
      <c r="A24" s="491"/>
      <c r="B24" s="450"/>
      <c r="C24" s="475"/>
      <c r="D24" s="153"/>
      <c r="E24" s="154"/>
      <c r="F24" s="476"/>
      <c r="G24" s="477"/>
      <c r="H24" s="478"/>
      <c r="I24" s="498"/>
      <c r="J24" s="457"/>
      <c r="K24" s="480"/>
      <c r="L24" s="492"/>
      <c r="M24" s="493"/>
      <c r="N24" s="510"/>
      <c r="O24" s="499"/>
      <c r="P24" s="500"/>
      <c r="Q24" s="485"/>
      <c r="R24" s="465"/>
      <c r="S24" s="486"/>
      <c r="T24" s="467"/>
      <c r="U24" s="487"/>
      <c r="V24" s="469"/>
      <c r="W24" s="488"/>
      <c r="X24" s="489"/>
      <c r="Y24" s="464"/>
      <c r="Z24" s="465"/>
      <c r="AA24" s="490"/>
      <c r="AB24" s="473"/>
      <c r="AC24" s="310"/>
      <c r="AD24" s="30"/>
      <c r="AE24" s="30"/>
      <c r="AF24" s="30"/>
      <c r="AG24" s="30"/>
      <c r="AI24" s="30"/>
    </row>
    <row r="25" spans="1:39" ht="15.75" customHeight="1" x14ac:dyDescent="0.25">
      <c r="A25" s="511"/>
      <c r="B25" s="512"/>
      <c r="C25" s="513"/>
      <c r="D25" s="514"/>
      <c r="E25" s="515"/>
      <c r="F25" s="516"/>
      <c r="G25" s="517"/>
      <c r="H25" s="518"/>
      <c r="I25" s="519"/>
      <c r="J25" s="520"/>
      <c r="K25" s="521"/>
      <c r="L25" s="522"/>
      <c r="M25" s="523"/>
      <c r="N25" s="524"/>
      <c r="O25" s="525"/>
      <c r="P25" s="526"/>
      <c r="Q25" s="527"/>
      <c r="R25" s="528"/>
      <c r="S25" s="529"/>
      <c r="T25" s="530"/>
      <c r="U25" s="531"/>
      <c r="V25" s="532"/>
      <c r="W25" s="533"/>
      <c r="X25" s="534"/>
      <c r="Y25" s="535"/>
      <c r="Z25" s="536"/>
      <c r="AA25" s="537"/>
      <c r="AB25" s="538"/>
      <c r="AC25" s="539"/>
      <c r="AD25" s="30"/>
      <c r="AE25" s="30"/>
      <c r="AF25" s="30"/>
      <c r="AG25" s="30"/>
      <c r="AI25" s="30"/>
    </row>
    <row r="26" spans="1:39" ht="15.75" customHeight="1" x14ac:dyDescent="0.25">
      <c r="A26" s="1249" t="s">
        <v>102</v>
      </c>
      <c r="B26" s="1250"/>
      <c r="C26" s="1251"/>
      <c r="D26" s="343" t="s">
        <v>103</v>
      </c>
      <c r="E26" s="343" t="s">
        <v>61</v>
      </c>
      <c r="F26" s="344" t="s">
        <v>103</v>
      </c>
      <c r="G26" s="1252" t="s">
        <v>103</v>
      </c>
      <c r="H26" s="1251"/>
      <c r="I26" s="1252" t="s">
        <v>102</v>
      </c>
      <c r="J26" s="1250"/>
      <c r="K26" s="1251"/>
      <c r="L26" s="1253" t="s">
        <v>102</v>
      </c>
      <c r="M26" s="1250"/>
      <c r="N26" s="1251"/>
      <c r="O26" s="1252" t="s">
        <v>104</v>
      </c>
      <c r="P26" s="1251"/>
      <c r="Q26" s="1252" t="s">
        <v>104</v>
      </c>
      <c r="R26" s="1251"/>
      <c r="S26" s="1252" t="s">
        <v>104</v>
      </c>
      <c r="T26" s="1251"/>
      <c r="U26" s="1252" t="s">
        <v>104</v>
      </c>
      <c r="V26" s="1251"/>
      <c r="W26" s="1254" t="s">
        <v>102</v>
      </c>
      <c r="X26" s="1255"/>
      <c r="Y26" s="1256" t="s">
        <v>102</v>
      </c>
      <c r="Z26" s="1255"/>
      <c r="AA26" s="1240" t="s">
        <v>102</v>
      </c>
      <c r="AB26" s="1241"/>
      <c r="AC26" s="1242"/>
      <c r="AE26" s="30"/>
      <c r="AF26" s="30"/>
      <c r="AG26" s="30"/>
      <c r="AI26" s="30"/>
    </row>
    <row r="27" spans="1:39" ht="15.75" customHeight="1" x14ac:dyDescent="0.25">
      <c r="A27" s="540">
        <f>SUM(A3:A25)</f>
        <v>4505.6000000000004</v>
      </c>
      <c r="B27" s="346"/>
      <c r="C27" s="196">
        <f t="shared" ref="C27:D27" si="0">SUM(C3:C25)</f>
        <v>0</v>
      </c>
      <c r="D27" s="197">
        <f t="shared" si="0"/>
        <v>522.75</v>
      </c>
      <c r="E27" s="203">
        <v>0</v>
      </c>
      <c r="F27" s="347">
        <f t="shared" ref="F27:I27" si="1">SUM(F3:F25)</f>
        <v>102</v>
      </c>
      <c r="G27" s="197">
        <f t="shared" si="1"/>
        <v>0</v>
      </c>
      <c r="H27" s="199">
        <f t="shared" si="1"/>
        <v>118.1</v>
      </c>
      <c r="I27" s="197">
        <f t="shared" si="1"/>
        <v>0</v>
      </c>
      <c r="J27" s="348"/>
      <c r="K27" s="349">
        <f t="shared" ref="K27:L27" si="2">SUM(K3:K25)</f>
        <v>0</v>
      </c>
      <c r="L27" s="350">
        <f t="shared" si="2"/>
        <v>0</v>
      </c>
      <c r="M27" s="424">
        <f>N3+N4</f>
        <v>42.79</v>
      </c>
      <c r="N27" s="197">
        <f>N5+N6</f>
        <v>29.7</v>
      </c>
      <c r="O27" s="353">
        <f t="shared" ref="O27:P27" si="3">O3</f>
        <v>573.29999999999995</v>
      </c>
      <c r="P27" s="354">
        <f t="shared" si="3"/>
        <v>0</v>
      </c>
      <c r="Q27" s="541">
        <f>SUM(Q3:Q13)</f>
        <v>370</v>
      </c>
      <c r="R27" s="355"/>
      <c r="S27" s="541">
        <f>SUM(S3:S8)</f>
        <v>230</v>
      </c>
      <c r="T27" s="356"/>
      <c r="U27" s="542">
        <f>SUM(U3:U25)</f>
        <v>250</v>
      </c>
      <c r="V27" s="356"/>
      <c r="W27" s="1247">
        <f>SUM(W3:W25)</f>
        <v>0</v>
      </c>
      <c r="X27" s="1248"/>
      <c r="Y27" s="1247">
        <f>SUM(Y3:Y25)</f>
        <v>0</v>
      </c>
      <c r="Z27" s="1248"/>
      <c r="AA27" s="358">
        <f>SUM(AA3:AA25)</f>
        <v>0</v>
      </c>
      <c r="AB27" s="359"/>
      <c r="AC27" s="360">
        <f>SUM(AC3:AC25)</f>
        <v>1775</v>
      </c>
      <c r="AE27" s="30"/>
      <c r="AF27" s="30"/>
      <c r="AG27" s="30"/>
      <c r="AI27" s="30"/>
    </row>
    <row r="28" spans="1:39" ht="15.75" customHeight="1" x14ac:dyDescent="0.25">
      <c r="H28" t="s">
        <v>207</v>
      </c>
      <c r="M28" t="s">
        <v>207</v>
      </c>
      <c r="N28" t="s">
        <v>208</v>
      </c>
      <c r="Q28" s="543"/>
      <c r="S28" s="543">
        <f>SUM(S10:S25)</f>
        <v>0</v>
      </c>
      <c r="V28" s="356"/>
      <c r="AE28" s="30"/>
      <c r="AF28" s="30"/>
      <c r="AG28" s="30"/>
      <c r="AI28" s="30"/>
    </row>
    <row r="29" spans="1:39" ht="15.75" customHeight="1" x14ac:dyDescent="0.25">
      <c r="AE29" s="30"/>
      <c r="AF29" s="30"/>
      <c r="AG29" s="30"/>
      <c r="AI29" s="30"/>
    </row>
    <row r="30" spans="1:39" ht="15.75" customHeight="1" x14ac:dyDescent="0.25">
      <c r="E30" s="30"/>
      <c r="F30" s="30"/>
      <c r="G30" s="30"/>
      <c r="M30" s="30"/>
      <c r="P30" s="30"/>
      <c r="Q30" s="1268" t="s">
        <v>209</v>
      </c>
      <c r="R30" s="1269"/>
      <c r="S30" s="544"/>
      <c r="T30" s="30"/>
      <c r="U30" s="30"/>
      <c r="AF30" s="30"/>
      <c r="AG30" s="30"/>
      <c r="AI30" s="30"/>
      <c r="AJ30" s="30"/>
      <c r="AK30" s="30"/>
      <c r="AM30" s="30"/>
    </row>
    <row r="31" spans="1:39" ht="15.75" customHeight="1" x14ac:dyDescent="0.25">
      <c r="E31" s="30"/>
      <c r="F31" s="30"/>
      <c r="G31" s="30"/>
      <c r="J31" s="30"/>
      <c r="K31" s="30"/>
      <c r="L31" s="30"/>
      <c r="M31" s="30"/>
      <c r="P31" s="30"/>
      <c r="Q31" s="1270"/>
      <c r="R31" s="1271"/>
      <c r="S31" s="544"/>
      <c r="T31" s="30"/>
      <c r="U31" s="361"/>
      <c r="AF31" s="30"/>
      <c r="AG31" s="30"/>
      <c r="AI31" s="30"/>
      <c r="AJ31" s="30"/>
      <c r="AK31" s="30"/>
      <c r="AM31" s="30"/>
    </row>
    <row r="32" spans="1:39" ht="15.75" customHeight="1" x14ac:dyDescent="0.25">
      <c r="E32" s="30"/>
      <c r="F32" s="30"/>
      <c r="G32" s="30"/>
      <c r="J32" s="30"/>
      <c r="K32" s="30"/>
      <c r="L32" s="30"/>
      <c r="M32" s="30"/>
      <c r="P32" s="30"/>
      <c r="Q32" s="544"/>
      <c r="R32" s="544"/>
      <c r="S32" s="544"/>
      <c r="T32" s="30"/>
      <c r="U32" s="30"/>
      <c r="AF32" s="30"/>
      <c r="AG32" s="30"/>
      <c r="AI32" s="30"/>
      <c r="AJ32" s="30"/>
      <c r="AK32" s="30"/>
      <c r="AM32" s="30"/>
    </row>
    <row r="33" spans="5:39" ht="15.75" customHeight="1" x14ac:dyDescent="0.25">
      <c r="E33" s="30"/>
      <c r="F33" s="30"/>
      <c r="G33" s="30"/>
      <c r="J33" s="30"/>
      <c r="K33" s="30"/>
      <c r="L33" s="30"/>
      <c r="M33" s="30"/>
      <c r="P33" s="30"/>
      <c r="Q33" s="544"/>
      <c r="R33" s="544"/>
      <c r="S33" s="544"/>
      <c r="T33" s="30"/>
      <c r="U33" s="30"/>
      <c r="AF33" s="30"/>
      <c r="AG33" s="30"/>
      <c r="AI33" s="30"/>
      <c r="AJ33" s="30"/>
      <c r="AK33" s="30"/>
      <c r="AM33" s="30"/>
    </row>
    <row r="34" spans="5:39" ht="15.75" customHeight="1" x14ac:dyDescent="0.25">
      <c r="E34" s="30"/>
      <c r="F34" s="30"/>
      <c r="G34" s="30"/>
      <c r="J34" s="30"/>
      <c r="K34" s="30"/>
      <c r="L34" s="30"/>
      <c r="M34" s="30"/>
      <c r="P34" s="30"/>
      <c r="Q34" s="30"/>
      <c r="R34" s="30"/>
      <c r="T34" s="30"/>
      <c r="U34" s="30"/>
      <c r="AF34" s="30"/>
      <c r="AG34" s="30"/>
      <c r="AI34" s="30"/>
      <c r="AJ34" s="30"/>
      <c r="AK34" s="30"/>
      <c r="AM34" s="30"/>
    </row>
    <row r="35" spans="5:39" ht="15.75" customHeight="1" x14ac:dyDescent="0.25">
      <c r="E35" s="30"/>
      <c r="F35" s="30"/>
      <c r="G35" s="30"/>
      <c r="J35" s="30"/>
      <c r="K35" s="30"/>
      <c r="L35" s="30"/>
      <c r="M35" s="30"/>
      <c r="P35" s="30"/>
      <c r="Q35" s="30"/>
      <c r="R35" s="30"/>
      <c r="T35" s="30"/>
      <c r="U35" s="30"/>
      <c r="AF35" s="30"/>
      <c r="AG35" s="30"/>
      <c r="AI35" s="30"/>
      <c r="AJ35" s="30"/>
      <c r="AK35" s="30"/>
      <c r="AM35" s="30"/>
    </row>
    <row r="36" spans="5:39" ht="15.75" customHeight="1" x14ac:dyDescent="0.25">
      <c r="Q36" s="30"/>
    </row>
    <row r="37" spans="5:39" ht="15.75" customHeight="1" x14ac:dyDescent="0.25">
      <c r="Q37" s="30"/>
    </row>
    <row r="38" spans="5:39" ht="15.75" customHeight="1" x14ac:dyDescent="0.25"/>
    <row r="39" spans="5:39" ht="15.75" customHeight="1" x14ac:dyDescent="0.25"/>
    <row r="40" spans="5:39" ht="15.75" customHeight="1" x14ac:dyDescent="0.25"/>
    <row r="41" spans="5:39" ht="15.75" customHeight="1" x14ac:dyDescent="0.25"/>
    <row r="42" spans="5:39" ht="15.75" customHeight="1" x14ac:dyDescent="0.25"/>
    <row r="43" spans="5:39" ht="15.75" customHeight="1" x14ac:dyDescent="0.25"/>
    <row r="44" spans="5:39" ht="15.75" customHeight="1" x14ac:dyDescent="0.25"/>
    <row r="45" spans="5:39" ht="15.75" customHeight="1" x14ac:dyDescent="0.25"/>
    <row r="46" spans="5:39" ht="15.75" customHeight="1" x14ac:dyDescent="0.25"/>
    <row r="47" spans="5:39" ht="15.75" customHeight="1" x14ac:dyDescent="0.25"/>
    <row r="48" spans="5:3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26">
    <mergeCell ref="AF1:AG1"/>
    <mergeCell ref="AD4:AE4"/>
    <mergeCell ref="AF4:AG4"/>
    <mergeCell ref="Q1:Z1"/>
    <mergeCell ref="A1:F1"/>
    <mergeCell ref="G1:H1"/>
    <mergeCell ref="I1:K1"/>
    <mergeCell ref="L1:N1"/>
    <mergeCell ref="O1:P1"/>
    <mergeCell ref="AA1:AC1"/>
    <mergeCell ref="AD1:AE1"/>
    <mergeCell ref="Q30:R31"/>
    <mergeCell ref="W27:X27"/>
    <mergeCell ref="Y27:Z27"/>
    <mergeCell ref="AD9:AE9"/>
    <mergeCell ref="A26:C26"/>
    <mergeCell ref="G26:H26"/>
    <mergeCell ref="I26:K26"/>
    <mergeCell ref="W26:X26"/>
    <mergeCell ref="Y26:Z26"/>
    <mergeCell ref="AA26:AC26"/>
    <mergeCell ref="L26:N26"/>
    <mergeCell ref="O26:P26"/>
    <mergeCell ref="Q26:R26"/>
    <mergeCell ref="S26:T26"/>
    <mergeCell ref="U26:V26"/>
  </mergeCells>
  <pageMargins left="0.7" right="0.7" top="0.75" bottom="0.75" header="0" footer="0"/>
  <pageSetup orientation="landscape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1F497D"/>
  </sheetPr>
  <dimension ref="A1:AP102"/>
  <sheetViews>
    <sheetView topLeftCell="N1" workbookViewId="0">
      <pane ySplit="1" topLeftCell="A2" activePane="bottomLeft" state="frozen"/>
      <selection activeCell="N1" sqref="N1"/>
      <selection pane="bottomLeft" activeCell="B3" sqref="B3"/>
    </sheetView>
  </sheetViews>
  <sheetFormatPr defaultColWidth="14.42578125" defaultRowHeight="15" customHeight="1" x14ac:dyDescent="0.25"/>
  <cols>
    <col min="1" max="1" width="9.42578125" customWidth="1"/>
    <col min="2" max="2" width="9" customWidth="1"/>
    <col min="3" max="3" width="9.28515625" customWidth="1"/>
    <col min="4" max="5" width="8.28515625" customWidth="1"/>
    <col min="6" max="8" width="8" customWidth="1"/>
    <col min="9" max="9" width="8.28515625" customWidth="1"/>
    <col min="10" max="10" width="8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10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9.7109375" customWidth="1"/>
    <col min="21" max="21" width="8.28515625" customWidth="1"/>
    <col min="22" max="22" width="9.140625" customWidth="1"/>
    <col min="23" max="25" width="8.28515625" customWidth="1"/>
    <col min="26" max="26" width="8" customWidth="1"/>
    <col min="27" max="27" width="8.28515625" customWidth="1"/>
    <col min="28" max="28" width="8" customWidth="1"/>
    <col min="29" max="29" width="9.28515625" customWidth="1"/>
    <col min="30" max="30" width="12.85546875" customWidth="1"/>
    <col min="31" max="31" width="12.7109375" customWidth="1"/>
    <col min="32" max="32" width="9.140625" customWidth="1"/>
    <col min="33" max="33" width="10.28515625" customWidth="1"/>
    <col min="34" max="34" width="14.28515625" customWidth="1"/>
    <col min="35" max="35" width="9.42578125" customWidth="1"/>
    <col min="36" max="36" width="12.42578125" customWidth="1"/>
    <col min="37" max="37" width="8.5703125" customWidth="1"/>
    <col min="38" max="38" width="11.28515625" customWidth="1"/>
    <col min="39" max="42" width="9.140625" customWidth="1"/>
  </cols>
  <sheetData>
    <row r="1" spans="1:42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33"/>
      <c r="Y1" s="1233"/>
      <c r="Z1" s="1220"/>
      <c r="AA1" s="1232" t="s">
        <v>43</v>
      </c>
      <c r="AB1" s="1233"/>
      <c r="AC1" s="1234"/>
      <c r="AD1" s="1219" t="s">
        <v>44</v>
      </c>
      <c r="AE1" s="1220"/>
      <c r="AF1" s="1243" t="s">
        <v>45</v>
      </c>
      <c r="AG1" s="1234"/>
      <c r="AH1" s="43"/>
      <c r="AI1" s="43"/>
      <c r="AJ1" s="44"/>
      <c r="AK1" s="44"/>
      <c r="AL1" s="44"/>
      <c r="AM1" s="44"/>
      <c r="AN1" s="43"/>
      <c r="AO1" s="43"/>
      <c r="AP1" s="43"/>
    </row>
    <row r="2" spans="1:42" ht="15.75" x14ac:dyDescent="0.25">
      <c r="A2" s="48" t="s">
        <v>46</v>
      </c>
      <c r="B2" s="276" t="s">
        <v>47</v>
      </c>
      <c r="C2" s="277" t="s">
        <v>48</v>
      </c>
      <c r="D2" s="48" t="s">
        <v>46</v>
      </c>
      <c r="E2" s="49" t="s">
        <v>47</v>
      </c>
      <c r="F2" s="276" t="s">
        <v>49</v>
      </c>
      <c r="G2" s="278" t="s">
        <v>49</v>
      </c>
      <c r="H2" s="279" t="s">
        <v>46</v>
      </c>
      <c r="I2" s="280" t="s">
        <v>49</v>
      </c>
      <c r="J2" s="281" t="s">
        <v>47</v>
      </c>
      <c r="K2" s="276" t="s">
        <v>46</v>
      </c>
      <c r="L2" s="280" t="s">
        <v>50</v>
      </c>
      <c r="M2" s="282" t="s">
        <v>51</v>
      </c>
      <c r="N2" s="276" t="s">
        <v>52</v>
      </c>
      <c r="O2" s="280" t="s">
        <v>53</v>
      </c>
      <c r="P2" s="277" t="s">
        <v>50</v>
      </c>
      <c r="Q2" s="283" t="s">
        <v>54</v>
      </c>
      <c r="R2" s="276" t="s">
        <v>47</v>
      </c>
      <c r="S2" s="283" t="s">
        <v>55</v>
      </c>
      <c r="T2" s="276" t="s">
        <v>47</v>
      </c>
      <c r="U2" s="283" t="s">
        <v>148</v>
      </c>
      <c r="V2" s="276" t="s">
        <v>47</v>
      </c>
      <c r="W2" s="45" t="s">
        <v>212</v>
      </c>
      <c r="X2" s="284" t="s">
        <v>47</v>
      </c>
      <c r="Y2" s="285" t="s">
        <v>201</v>
      </c>
      <c r="Z2" s="276" t="s">
        <v>47</v>
      </c>
      <c r="AA2" s="283" t="s">
        <v>50</v>
      </c>
      <c r="AB2" s="49" t="s">
        <v>13</v>
      </c>
      <c r="AC2" s="276" t="s">
        <v>52</v>
      </c>
      <c r="AD2" s="286" t="s">
        <v>50</v>
      </c>
      <c r="AE2" s="287" t="s">
        <v>52</v>
      </c>
      <c r="AF2" s="286" t="s">
        <v>50</v>
      </c>
      <c r="AG2" s="288" t="s">
        <v>52</v>
      </c>
      <c r="AJ2" s="30"/>
      <c r="AK2" s="30"/>
      <c r="AL2" s="30"/>
      <c r="AM2" s="30"/>
    </row>
    <row r="3" spans="1:42" x14ac:dyDescent="0.25">
      <c r="A3" s="545">
        <v>2438.9</v>
      </c>
      <c r="B3" s="96">
        <v>44051</v>
      </c>
      <c r="C3" s="290"/>
      <c r="D3" s="70">
        <v>104.04</v>
      </c>
      <c r="E3" s="71">
        <v>44039</v>
      </c>
      <c r="F3" s="72"/>
      <c r="G3" s="73">
        <v>1.1000000000000001</v>
      </c>
      <c r="H3" s="74">
        <v>18.399999999999999</v>
      </c>
      <c r="I3" s="86">
        <v>120</v>
      </c>
      <c r="J3" s="76">
        <v>44043</v>
      </c>
      <c r="K3" s="74"/>
      <c r="L3" s="291"/>
      <c r="M3" s="371"/>
      <c r="N3" s="373"/>
      <c r="O3" s="80">
        <f>AC27-AG6-AE3</f>
        <v>389.35</v>
      </c>
      <c r="P3" s="294">
        <v>0</v>
      </c>
      <c r="Q3" s="118">
        <v>100</v>
      </c>
      <c r="R3" s="83">
        <v>44039</v>
      </c>
      <c r="S3" s="118">
        <v>100</v>
      </c>
      <c r="T3" s="85">
        <v>44047</v>
      </c>
      <c r="U3" s="86"/>
      <c r="V3" s="85"/>
      <c r="W3" s="295"/>
      <c r="X3" s="296"/>
      <c r="Y3" s="133"/>
      <c r="Z3" s="83"/>
      <c r="AA3" s="297"/>
      <c r="AB3" s="89" t="s">
        <v>60</v>
      </c>
      <c r="AC3" s="373">
        <v>220</v>
      </c>
      <c r="AD3" s="299">
        <v>0</v>
      </c>
      <c r="AE3" s="300">
        <v>0</v>
      </c>
      <c r="AF3" s="301">
        <f>AD6+AF6</f>
        <v>2438.9</v>
      </c>
      <c r="AG3" s="302">
        <f>AG6+AE6</f>
        <v>1759.06</v>
      </c>
      <c r="AJ3" s="30"/>
      <c r="AK3" s="30"/>
      <c r="AL3" s="30"/>
    </row>
    <row r="4" spans="1:42" ht="18.75" x14ac:dyDescent="0.25">
      <c r="A4" s="303"/>
      <c r="B4" s="96"/>
      <c r="C4" s="304"/>
      <c r="D4" s="98">
        <v>98.22</v>
      </c>
      <c r="E4" s="71">
        <v>44047</v>
      </c>
      <c r="F4" s="99"/>
      <c r="G4" s="100">
        <v>2.9</v>
      </c>
      <c r="H4" s="101">
        <v>19.5</v>
      </c>
      <c r="I4" s="102"/>
      <c r="J4" s="76">
        <v>44044</v>
      </c>
      <c r="K4" s="101">
        <v>951.3</v>
      </c>
      <c r="L4" s="305"/>
      <c r="M4" s="374"/>
      <c r="N4" s="150"/>
      <c r="O4" s="1223" t="s">
        <v>61</v>
      </c>
      <c r="P4" s="1224"/>
      <c r="Q4" s="118">
        <v>8</v>
      </c>
      <c r="R4" s="83" t="s">
        <v>201</v>
      </c>
      <c r="S4" s="118"/>
      <c r="T4" s="85"/>
      <c r="U4" s="108"/>
      <c r="V4" s="85"/>
      <c r="W4" s="546"/>
      <c r="X4" s="83"/>
      <c r="Y4" s="133"/>
      <c r="Z4" s="83"/>
      <c r="AA4" s="309"/>
      <c r="AB4" s="89"/>
      <c r="AC4" s="329"/>
      <c r="AD4" s="1238" t="s">
        <v>63</v>
      </c>
      <c r="AE4" s="1245"/>
      <c r="AF4" s="1246" t="s">
        <v>64</v>
      </c>
      <c r="AG4" s="1237"/>
      <c r="AJ4" s="30"/>
      <c r="AK4" s="112"/>
      <c r="AL4" s="30"/>
    </row>
    <row r="5" spans="1:42" ht="15.75" x14ac:dyDescent="0.25">
      <c r="A5" s="303"/>
      <c r="B5" s="96"/>
      <c r="C5" s="304"/>
      <c r="D5" s="98">
        <v>95.95</v>
      </c>
      <c r="E5" s="71">
        <v>44051</v>
      </c>
      <c r="F5" s="99"/>
      <c r="G5" s="100"/>
      <c r="H5" s="101">
        <v>18.399999999999999</v>
      </c>
      <c r="I5" s="102">
        <v>6.65</v>
      </c>
      <c r="J5" s="76">
        <v>44044</v>
      </c>
      <c r="K5" s="101"/>
      <c r="L5" s="311"/>
      <c r="M5" s="116"/>
      <c r="N5" s="150"/>
      <c r="O5" s="1225">
        <f>AD9</f>
        <v>150</v>
      </c>
      <c r="P5" s="1226"/>
      <c r="Q5" s="118">
        <v>50</v>
      </c>
      <c r="R5" s="83">
        <v>44047</v>
      </c>
      <c r="S5" s="118"/>
      <c r="T5" s="85"/>
      <c r="U5" s="108"/>
      <c r="V5" s="85"/>
      <c r="W5" s="308"/>
      <c r="X5" s="83"/>
      <c r="Y5" s="133"/>
      <c r="Z5" s="83"/>
      <c r="AA5" s="309"/>
      <c r="AB5" s="89">
        <v>44043</v>
      </c>
      <c r="AC5" s="496">
        <v>300</v>
      </c>
      <c r="AD5" s="119" t="s">
        <v>50</v>
      </c>
      <c r="AE5" s="313" t="s">
        <v>52</v>
      </c>
      <c r="AF5" s="121" t="s">
        <v>50</v>
      </c>
      <c r="AG5" s="122" t="s">
        <v>52</v>
      </c>
      <c r="AJ5" s="30"/>
      <c r="AK5" s="112"/>
      <c r="AL5" s="30"/>
    </row>
    <row r="6" spans="1:42" x14ac:dyDescent="0.25">
      <c r="A6" s="303"/>
      <c r="B6" s="96"/>
      <c r="C6" s="304"/>
      <c r="D6" s="98"/>
      <c r="E6" s="71"/>
      <c r="F6" s="99"/>
      <c r="G6" s="100"/>
      <c r="H6" s="101">
        <v>2.9</v>
      </c>
      <c r="I6" s="102"/>
      <c r="J6" s="76"/>
      <c r="K6" s="101"/>
      <c r="L6" s="311"/>
      <c r="M6" s="330"/>
      <c r="N6" s="150"/>
      <c r="O6" s="314"/>
      <c r="P6" s="315"/>
      <c r="Q6" s="118">
        <v>20</v>
      </c>
      <c r="R6" s="83">
        <v>44050</v>
      </c>
      <c r="S6" s="118"/>
      <c r="T6" s="85"/>
      <c r="U6" s="108"/>
      <c r="V6" s="85"/>
      <c r="W6" s="308"/>
      <c r="X6" s="83"/>
      <c r="Y6" s="133"/>
      <c r="Z6" s="83"/>
      <c r="AA6" s="309"/>
      <c r="AB6" s="89">
        <v>44049</v>
      </c>
      <c r="AC6" s="496">
        <v>300</v>
      </c>
      <c r="AD6" s="316">
        <f>A27+L27</f>
        <v>2438.9</v>
      </c>
      <c r="AE6" s="317">
        <f>D27+H27+K27+N27</f>
        <v>1328.4099999999999</v>
      </c>
      <c r="AF6" s="128">
        <f>L27+C27</f>
        <v>0</v>
      </c>
      <c r="AG6" s="129">
        <f>F27+G27+I27+N27+Q27+S27+U27+W27+Y27</f>
        <v>430.65</v>
      </c>
      <c r="AJ6" s="30"/>
      <c r="AK6" s="112"/>
      <c r="AL6" s="30"/>
    </row>
    <row r="7" spans="1:42" ht="18.75" x14ac:dyDescent="0.25">
      <c r="A7" s="303"/>
      <c r="B7" s="96"/>
      <c r="C7" s="304"/>
      <c r="D7" s="98"/>
      <c r="E7" s="71"/>
      <c r="F7" s="99"/>
      <c r="G7" s="100"/>
      <c r="H7" s="101">
        <v>5.3</v>
      </c>
      <c r="I7" s="108"/>
      <c r="J7" s="76"/>
      <c r="K7" s="101"/>
      <c r="L7" s="311"/>
      <c r="M7" s="330"/>
      <c r="N7" s="150"/>
      <c r="O7" s="144"/>
      <c r="P7" s="145"/>
      <c r="Q7" s="118">
        <v>20</v>
      </c>
      <c r="R7" s="83">
        <v>44051</v>
      </c>
      <c r="S7" s="118"/>
      <c r="T7" s="85"/>
      <c r="U7" s="108"/>
      <c r="V7" s="85"/>
      <c r="W7" s="308"/>
      <c r="X7" s="83"/>
      <c r="Y7" s="133"/>
      <c r="Z7" s="83"/>
      <c r="AA7" s="309"/>
      <c r="AB7" s="89"/>
      <c r="AC7" s="329"/>
      <c r="AD7" s="320" t="s">
        <v>66</v>
      </c>
      <c r="AE7" s="321" t="s">
        <v>67</v>
      </c>
      <c r="AJ7" s="30"/>
      <c r="AK7" s="30"/>
      <c r="AL7" s="30"/>
    </row>
    <row r="8" spans="1:42" x14ac:dyDescent="0.25">
      <c r="A8" s="303"/>
      <c r="B8" s="96"/>
      <c r="C8" s="304"/>
      <c r="D8" s="98"/>
      <c r="E8" s="71"/>
      <c r="F8" s="99"/>
      <c r="G8" s="100"/>
      <c r="H8" s="101">
        <v>1.1000000000000001</v>
      </c>
      <c r="I8" s="108"/>
      <c r="J8" s="76"/>
      <c r="K8" s="101"/>
      <c r="L8" s="311"/>
      <c r="M8" s="330"/>
      <c r="N8" s="150"/>
      <c r="O8" s="133"/>
      <c r="P8" s="134"/>
      <c r="Q8" s="118">
        <v>2</v>
      </c>
      <c r="R8" s="83"/>
      <c r="S8" s="118"/>
      <c r="T8" s="85"/>
      <c r="U8" s="322"/>
      <c r="V8" s="323"/>
      <c r="W8" s="324"/>
      <c r="X8" s="137"/>
      <c r="Y8" s="325"/>
      <c r="Z8" s="83"/>
      <c r="AA8" s="309"/>
      <c r="AB8" s="89"/>
      <c r="AC8" s="329"/>
      <c r="AD8" s="326">
        <v>150</v>
      </c>
      <c r="AE8" s="327">
        <v>0</v>
      </c>
      <c r="AJ8" s="30"/>
      <c r="AK8" s="30"/>
      <c r="AL8" s="30"/>
    </row>
    <row r="9" spans="1:42" x14ac:dyDescent="0.25">
      <c r="A9" s="303"/>
      <c r="B9" s="76"/>
      <c r="C9" s="328"/>
      <c r="D9" s="98"/>
      <c r="E9" s="71"/>
      <c r="F9" s="99"/>
      <c r="G9" s="100"/>
      <c r="H9" s="143">
        <v>13.3</v>
      </c>
      <c r="I9" s="108"/>
      <c r="J9" s="76"/>
      <c r="K9" s="101"/>
      <c r="L9" s="311"/>
      <c r="M9" s="330"/>
      <c r="N9" s="150"/>
      <c r="O9" s="144"/>
      <c r="P9" s="145"/>
      <c r="Q9" s="118"/>
      <c r="R9" s="83"/>
      <c r="S9" s="118"/>
      <c r="T9" s="85"/>
      <c r="U9" s="108"/>
      <c r="V9" s="85"/>
      <c r="W9" s="308"/>
      <c r="X9" s="83"/>
      <c r="Y9" s="133"/>
      <c r="Z9" s="83"/>
      <c r="AA9" s="309"/>
      <c r="AB9" s="89"/>
      <c r="AC9" s="329"/>
      <c r="AD9" s="1244">
        <f>AD8-AE8</f>
        <v>150</v>
      </c>
      <c r="AE9" s="1222"/>
      <c r="AJ9" s="30"/>
      <c r="AK9" s="30"/>
      <c r="AL9" s="146"/>
    </row>
    <row r="10" spans="1:42" x14ac:dyDescent="0.25">
      <c r="A10" s="303"/>
      <c r="B10" s="76"/>
      <c r="C10" s="328"/>
      <c r="D10" s="98"/>
      <c r="E10" s="71"/>
      <c r="F10" s="99"/>
      <c r="G10" s="100"/>
      <c r="H10" s="101"/>
      <c r="I10" s="108"/>
      <c r="J10" s="76"/>
      <c r="K10" s="101"/>
      <c r="L10" s="311"/>
      <c r="M10" s="330"/>
      <c r="N10" s="150"/>
      <c r="O10" s="144"/>
      <c r="P10" s="145"/>
      <c r="Q10" s="118"/>
      <c r="R10" s="83"/>
      <c r="S10" s="118"/>
      <c r="T10" s="85"/>
      <c r="U10" s="108"/>
      <c r="V10" s="85"/>
      <c r="W10" s="308"/>
      <c r="X10" s="83"/>
      <c r="Y10" s="133"/>
      <c r="Z10" s="83"/>
      <c r="AA10" s="309"/>
      <c r="AB10" s="89"/>
      <c r="AC10" s="329"/>
      <c r="AJ10" s="30"/>
      <c r="AK10" s="30"/>
      <c r="AL10" s="30"/>
    </row>
    <row r="11" spans="1:42" x14ac:dyDescent="0.25">
      <c r="A11" s="303"/>
      <c r="B11" s="76"/>
      <c r="C11" s="328"/>
      <c r="D11" s="98"/>
      <c r="E11" s="71"/>
      <c r="F11" s="149"/>
      <c r="G11" s="100"/>
      <c r="H11" s="101"/>
      <c r="I11" s="108"/>
      <c r="J11" s="76"/>
      <c r="K11" s="101"/>
      <c r="L11" s="311"/>
      <c r="M11" s="330"/>
      <c r="N11" s="150"/>
      <c r="O11" s="144"/>
      <c r="P11" s="145"/>
      <c r="Q11" s="118"/>
      <c r="R11" s="83"/>
      <c r="S11" s="118"/>
      <c r="T11" s="85"/>
      <c r="U11" s="108"/>
      <c r="V11" s="85"/>
      <c r="W11" s="308"/>
      <c r="X11" s="83"/>
      <c r="Y11" s="133"/>
      <c r="Z11" s="83"/>
      <c r="AA11" s="309"/>
      <c r="AB11" s="89"/>
      <c r="AC11" s="329"/>
      <c r="AJ11" s="30"/>
      <c r="AK11" s="30"/>
      <c r="AL11" s="30"/>
    </row>
    <row r="12" spans="1:42" x14ac:dyDescent="0.25">
      <c r="A12" s="303"/>
      <c r="B12" s="76"/>
      <c r="C12" s="328"/>
      <c r="D12" s="148"/>
      <c r="E12" s="71"/>
      <c r="F12" s="149"/>
      <c r="G12" s="100"/>
      <c r="H12" s="101"/>
      <c r="I12" s="108"/>
      <c r="J12" s="76"/>
      <c r="K12" s="101"/>
      <c r="L12" s="311"/>
      <c r="M12" s="330"/>
      <c r="N12" s="150"/>
      <c r="O12" s="144"/>
      <c r="P12" s="145"/>
      <c r="Q12" s="118"/>
      <c r="R12" s="83"/>
      <c r="S12" s="118"/>
      <c r="T12" s="85"/>
      <c r="U12" s="108"/>
      <c r="V12" s="85"/>
      <c r="W12" s="308"/>
      <c r="X12" s="83"/>
      <c r="Y12" s="133"/>
      <c r="Z12" s="83"/>
      <c r="AA12" s="309"/>
      <c r="AB12" s="89"/>
      <c r="AC12" s="329"/>
      <c r="AJ12" s="30"/>
      <c r="AK12" s="30"/>
      <c r="AL12" s="30"/>
    </row>
    <row r="13" spans="1:42" x14ac:dyDescent="0.25">
      <c r="A13" s="303"/>
      <c r="B13" s="76"/>
      <c r="C13" s="328"/>
      <c r="D13" s="148"/>
      <c r="E13" s="71"/>
      <c r="F13" s="149"/>
      <c r="G13" s="100"/>
      <c r="H13" s="101"/>
      <c r="I13" s="108"/>
      <c r="J13" s="76"/>
      <c r="K13" s="101"/>
      <c r="L13" s="311"/>
      <c r="M13" s="330"/>
      <c r="N13" s="150"/>
      <c r="O13" s="144"/>
      <c r="P13" s="145"/>
      <c r="Q13" s="118"/>
      <c r="R13" s="83"/>
      <c r="S13" s="118"/>
      <c r="T13" s="85"/>
      <c r="U13" s="108"/>
      <c r="V13" s="85"/>
      <c r="W13" s="308"/>
      <c r="X13" s="83"/>
      <c r="Y13" s="133"/>
      <c r="Z13" s="83"/>
      <c r="AA13" s="309"/>
      <c r="AB13" s="89"/>
      <c r="AC13" s="329"/>
      <c r="AD13" s="30"/>
      <c r="AE13" s="30">
        <v>460</v>
      </c>
      <c r="AF13" s="30"/>
      <c r="AG13" s="30"/>
      <c r="AI13" s="30"/>
      <c r="AJ13" s="30"/>
      <c r="AK13" s="30"/>
      <c r="AL13" s="30"/>
    </row>
    <row r="14" spans="1:42" x14ac:dyDescent="0.25">
      <c r="A14" s="303"/>
      <c r="B14" s="76"/>
      <c r="C14" s="328"/>
      <c r="D14" s="152"/>
      <c r="E14" s="71"/>
      <c r="F14" s="149"/>
      <c r="G14" s="100"/>
      <c r="H14" s="101"/>
      <c r="I14" s="108"/>
      <c r="J14" s="76"/>
      <c r="K14" s="101"/>
      <c r="L14" s="311"/>
      <c r="M14" s="330"/>
      <c r="N14" s="150"/>
      <c r="O14" s="144"/>
      <c r="P14" s="145"/>
      <c r="Q14" s="118"/>
      <c r="R14" s="83"/>
      <c r="S14" s="118"/>
      <c r="T14" s="85"/>
      <c r="U14" s="108"/>
      <c r="V14" s="85"/>
      <c r="W14" s="308"/>
      <c r="X14" s="83"/>
      <c r="Y14" s="133"/>
      <c r="Z14" s="83"/>
      <c r="AA14" s="309"/>
      <c r="AB14" s="89"/>
      <c r="AC14" s="329"/>
      <c r="AD14" s="30"/>
      <c r="AE14" s="30"/>
      <c r="AF14" s="30"/>
      <c r="AG14" s="30"/>
      <c r="AI14" s="30"/>
    </row>
    <row r="15" spans="1:42" x14ac:dyDescent="0.25">
      <c r="A15" s="303"/>
      <c r="B15" s="76"/>
      <c r="C15" s="328"/>
      <c r="D15" s="148"/>
      <c r="E15" s="71"/>
      <c r="F15" s="149"/>
      <c r="G15" s="100"/>
      <c r="H15" s="101"/>
      <c r="I15" s="108"/>
      <c r="J15" s="76"/>
      <c r="K15" s="101"/>
      <c r="L15" s="311"/>
      <c r="M15" s="330"/>
      <c r="N15" s="150"/>
      <c r="O15" s="144"/>
      <c r="P15" s="145"/>
      <c r="Q15" s="118"/>
      <c r="R15" s="83"/>
      <c r="S15" s="118"/>
      <c r="T15" s="85"/>
      <c r="U15" s="108"/>
      <c r="V15" s="85"/>
      <c r="W15" s="308"/>
      <c r="X15" s="83"/>
      <c r="Y15" s="133"/>
      <c r="Z15" s="83"/>
      <c r="AA15" s="309"/>
      <c r="AB15" s="89"/>
      <c r="AC15" s="329"/>
      <c r="AD15" s="30"/>
      <c r="AE15" s="30"/>
      <c r="AF15" s="30"/>
      <c r="AG15" s="30"/>
      <c r="AI15" s="30"/>
    </row>
    <row r="16" spans="1:42" x14ac:dyDescent="0.25">
      <c r="A16" s="303"/>
      <c r="B16" s="76"/>
      <c r="C16" s="328"/>
      <c r="D16" s="148"/>
      <c r="E16" s="71"/>
      <c r="F16" s="149"/>
      <c r="G16" s="100"/>
      <c r="H16" s="101"/>
      <c r="I16" s="108"/>
      <c r="J16" s="76"/>
      <c r="K16" s="101"/>
      <c r="L16" s="311"/>
      <c r="M16" s="330"/>
      <c r="N16" s="150"/>
      <c r="O16" s="144"/>
      <c r="P16" s="145"/>
      <c r="Q16" s="118"/>
      <c r="R16" s="83"/>
      <c r="S16" s="118"/>
      <c r="T16" s="85"/>
      <c r="U16" s="108"/>
      <c r="V16" s="85"/>
      <c r="W16" s="308"/>
      <c r="X16" s="83"/>
      <c r="Y16" s="133"/>
      <c r="Z16" s="83"/>
      <c r="AA16" s="309"/>
      <c r="AB16" s="89"/>
      <c r="AC16" s="329"/>
      <c r="AD16" s="30"/>
      <c r="AE16" s="30"/>
      <c r="AF16" s="30"/>
      <c r="AG16" s="30"/>
      <c r="AI16" s="30"/>
    </row>
    <row r="17" spans="1:39" x14ac:dyDescent="0.25">
      <c r="A17" s="303"/>
      <c r="B17" s="76"/>
      <c r="C17" s="328"/>
      <c r="D17" s="148"/>
      <c r="E17" s="71"/>
      <c r="F17" s="149"/>
      <c r="G17" s="100"/>
      <c r="H17" s="101"/>
      <c r="I17" s="108"/>
      <c r="J17" s="76"/>
      <c r="K17" s="101"/>
      <c r="L17" s="311"/>
      <c r="M17" s="330"/>
      <c r="N17" s="150"/>
      <c r="O17" s="144"/>
      <c r="P17" s="145"/>
      <c r="Q17" s="118"/>
      <c r="R17" s="83"/>
      <c r="S17" s="118"/>
      <c r="T17" s="85"/>
      <c r="U17" s="108"/>
      <c r="V17" s="85"/>
      <c r="W17" s="308"/>
      <c r="X17" s="83"/>
      <c r="Y17" s="133"/>
      <c r="Z17" s="83"/>
      <c r="AA17" s="309"/>
      <c r="AB17" s="89"/>
      <c r="AC17" s="329"/>
      <c r="AD17" s="30"/>
      <c r="AE17" s="30"/>
      <c r="AF17" s="30"/>
      <c r="AG17" s="30"/>
      <c r="AI17" s="30"/>
    </row>
    <row r="18" spans="1:39" x14ac:dyDescent="0.25">
      <c r="A18" s="303"/>
      <c r="B18" s="76"/>
      <c r="C18" s="328"/>
      <c r="D18" s="148"/>
      <c r="E18" s="71"/>
      <c r="F18" s="149"/>
      <c r="G18" s="100"/>
      <c r="H18" s="101"/>
      <c r="I18" s="108"/>
      <c r="J18" s="76"/>
      <c r="K18" s="101"/>
      <c r="L18" s="311"/>
      <c r="M18" s="330"/>
      <c r="N18" s="329"/>
      <c r="O18" s="144"/>
      <c r="P18" s="145"/>
      <c r="Q18" s="118"/>
      <c r="R18" s="83"/>
      <c r="S18" s="118"/>
      <c r="T18" s="85"/>
      <c r="U18" s="108"/>
      <c r="V18" s="85"/>
      <c r="W18" s="308"/>
      <c r="X18" s="83"/>
      <c r="Y18" s="133"/>
      <c r="Z18" s="83"/>
      <c r="AA18" s="309"/>
      <c r="AB18" s="89"/>
      <c r="AC18" s="329"/>
      <c r="AD18" s="30"/>
      <c r="AE18" s="30"/>
      <c r="AF18" s="30"/>
      <c r="AG18" s="30"/>
      <c r="AI18" s="30"/>
    </row>
    <row r="19" spans="1:39" x14ac:dyDescent="0.25">
      <c r="A19" s="303"/>
      <c r="B19" s="76"/>
      <c r="C19" s="328"/>
      <c r="D19" s="148"/>
      <c r="E19" s="71"/>
      <c r="F19" s="149"/>
      <c r="G19" s="100"/>
      <c r="H19" s="101"/>
      <c r="I19" s="108"/>
      <c r="J19" s="76"/>
      <c r="K19" s="101"/>
      <c r="L19" s="311"/>
      <c r="M19" s="330"/>
      <c r="N19" s="329"/>
      <c r="O19" s="144"/>
      <c r="P19" s="145"/>
      <c r="Q19" s="118"/>
      <c r="R19" s="83"/>
      <c r="S19" s="118"/>
      <c r="T19" s="85"/>
      <c r="U19" s="108"/>
      <c r="V19" s="85"/>
      <c r="W19" s="308"/>
      <c r="X19" s="83"/>
      <c r="Y19" s="133"/>
      <c r="Z19" s="83"/>
      <c r="AA19" s="309"/>
      <c r="AB19" s="89"/>
      <c r="AC19" s="329"/>
      <c r="AD19" s="30"/>
      <c r="AE19" s="30"/>
      <c r="AF19" s="30"/>
      <c r="AG19" s="30"/>
      <c r="AI19" s="30"/>
    </row>
    <row r="20" spans="1:39" x14ac:dyDescent="0.25">
      <c r="A20" s="303"/>
      <c r="B20" s="76"/>
      <c r="C20" s="328"/>
      <c r="D20" s="148"/>
      <c r="E20" s="71"/>
      <c r="F20" s="149"/>
      <c r="G20" s="100"/>
      <c r="H20" s="101"/>
      <c r="I20" s="108"/>
      <c r="J20" s="76"/>
      <c r="K20" s="101"/>
      <c r="L20" s="311"/>
      <c r="M20" s="116"/>
      <c r="N20" s="329"/>
      <c r="O20" s="144"/>
      <c r="P20" s="145"/>
      <c r="Q20" s="118"/>
      <c r="R20" s="83"/>
      <c r="S20" s="118"/>
      <c r="T20" s="85"/>
      <c r="U20" s="108"/>
      <c r="V20" s="85"/>
      <c r="W20" s="308"/>
      <c r="X20" s="83"/>
      <c r="Y20" s="133"/>
      <c r="Z20" s="83"/>
      <c r="AA20" s="309"/>
      <c r="AB20" s="89"/>
      <c r="AC20" s="329"/>
      <c r="AD20" s="30"/>
      <c r="AE20" s="30"/>
      <c r="AF20" s="30"/>
      <c r="AG20" s="30"/>
      <c r="AI20" s="30"/>
    </row>
    <row r="21" spans="1:39" ht="15.75" customHeight="1" x14ac:dyDescent="0.25">
      <c r="A21" s="303"/>
      <c r="B21" s="76"/>
      <c r="C21" s="328"/>
      <c r="D21" s="148"/>
      <c r="E21" s="71"/>
      <c r="F21" s="149"/>
      <c r="G21" s="100"/>
      <c r="H21" s="101"/>
      <c r="I21" s="108"/>
      <c r="J21" s="76"/>
      <c r="K21" s="101"/>
      <c r="L21" s="311"/>
      <c r="M21" s="116"/>
      <c r="N21" s="329"/>
      <c r="O21" s="144"/>
      <c r="P21" s="145"/>
      <c r="Q21" s="118"/>
      <c r="R21" s="83"/>
      <c r="S21" s="118"/>
      <c r="T21" s="85"/>
      <c r="U21" s="108"/>
      <c r="V21" s="85"/>
      <c r="W21" s="308"/>
      <c r="X21" s="83"/>
      <c r="Y21" s="133"/>
      <c r="Z21" s="83"/>
      <c r="AA21" s="309"/>
      <c r="AB21" s="89"/>
      <c r="AC21" s="329"/>
      <c r="AD21" s="30"/>
      <c r="AE21" s="30"/>
      <c r="AF21" s="30"/>
      <c r="AG21" s="30"/>
      <c r="AI21" s="30"/>
    </row>
    <row r="22" spans="1:39" ht="15.75" customHeight="1" x14ac:dyDescent="0.25">
      <c r="A22" s="303"/>
      <c r="B22" s="76"/>
      <c r="C22" s="328"/>
      <c r="D22" s="148"/>
      <c r="E22" s="71"/>
      <c r="F22" s="149"/>
      <c r="G22" s="100"/>
      <c r="H22" s="101"/>
      <c r="I22" s="108"/>
      <c r="J22" s="76"/>
      <c r="K22" s="101"/>
      <c r="L22" s="311"/>
      <c r="M22" s="116"/>
      <c r="N22" s="329"/>
      <c r="O22" s="144"/>
      <c r="P22" s="145"/>
      <c r="Q22" s="118"/>
      <c r="R22" s="83"/>
      <c r="S22" s="118"/>
      <c r="T22" s="85"/>
      <c r="U22" s="108"/>
      <c r="V22" s="85"/>
      <c r="W22" s="308"/>
      <c r="X22" s="83"/>
      <c r="Y22" s="133"/>
      <c r="Z22" s="83"/>
      <c r="AA22" s="309"/>
      <c r="AB22" s="89"/>
      <c r="AC22" s="329"/>
      <c r="AD22" s="30"/>
      <c r="AE22" s="30"/>
      <c r="AF22" s="30"/>
      <c r="AG22" s="30"/>
      <c r="AI22" s="30"/>
    </row>
    <row r="23" spans="1:39" ht="15.75" customHeight="1" x14ac:dyDescent="0.25">
      <c r="A23" s="303"/>
      <c r="B23" s="76"/>
      <c r="C23" s="328"/>
      <c r="D23" s="148"/>
      <c r="E23" s="71"/>
      <c r="F23" s="149"/>
      <c r="G23" s="100"/>
      <c r="H23" s="101"/>
      <c r="I23" s="108"/>
      <c r="J23" s="76"/>
      <c r="K23" s="101"/>
      <c r="L23" s="311"/>
      <c r="M23" s="116"/>
      <c r="N23" s="329"/>
      <c r="O23" s="144"/>
      <c r="P23" s="145"/>
      <c r="Q23" s="118"/>
      <c r="R23" s="83"/>
      <c r="S23" s="118"/>
      <c r="T23" s="85"/>
      <c r="U23" s="108"/>
      <c r="V23" s="85"/>
      <c r="W23" s="308"/>
      <c r="X23" s="83"/>
      <c r="Y23" s="133"/>
      <c r="Z23" s="83"/>
      <c r="AA23" s="309"/>
      <c r="AB23" s="89"/>
      <c r="AC23" s="329"/>
      <c r="AD23" s="30"/>
      <c r="AE23" s="30"/>
      <c r="AF23" s="30"/>
      <c r="AG23" s="30"/>
      <c r="AI23" s="30"/>
    </row>
    <row r="24" spans="1:39" ht="15.75" customHeight="1" x14ac:dyDescent="0.25">
      <c r="A24" s="303"/>
      <c r="B24" s="76"/>
      <c r="C24" s="328"/>
      <c r="D24" s="148"/>
      <c r="E24" s="71"/>
      <c r="F24" s="149"/>
      <c r="G24" s="100"/>
      <c r="H24" s="101"/>
      <c r="I24" s="108"/>
      <c r="J24" s="76"/>
      <c r="K24" s="101"/>
      <c r="L24" s="311"/>
      <c r="M24" s="116"/>
      <c r="N24" s="329"/>
      <c r="O24" s="144"/>
      <c r="P24" s="145"/>
      <c r="Q24" s="118"/>
      <c r="R24" s="83"/>
      <c r="S24" s="118"/>
      <c r="T24" s="85"/>
      <c r="U24" s="108"/>
      <c r="V24" s="85"/>
      <c r="W24" s="308"/>
      <c r="X24" s="83"/>
      <c r="Y24" s="133"/>
      <c r="Z24" s="83"/>
      <c r="AA24" s="309"/>
      <c r="AB24" s="89"/>
      <c r="AC24" s="329"/>
      <c r="AD24" s="30"/>
      <c r="AE24" s="30"/>
      <c r="AF24" s="30"/>
      <c r="AG24" s="30"/>
      <c r="AI24" s="30"/>
    </row>
    <row r="25" spans="1:39" ht="15.75" customHeight="1" x14ac:dyDescent="0.25">
      <c r="A25" s="331"/>
      <c r="B25" s="159"/>
      <c r="C25" s="332"/>
      <c r="D25" s="161"/>
      <c r="E25" s="333"/>
      <c r="F25" s="163"/>
      <c r="G25" s="164"/>
      <c r="H25" s="117"/>
      <c r="I25" s="334"/>
      <c r="J25" s="159"/>
      <c r="K25" s="117"/>
      <c r="L25" s="335"/>
      <c r="M25" s="336"/>
      <c r="N25" s="337"/>
      <c r="O25" s="169"/>
      <c r="P25" s="170"/>
      <c r="Q25" s="172"/>
      <c r="R25" s="338"/>
      <c r="S25" s="172"/>
      <c r="T25" s="39"/>
      <c r="U25" s="334"/>
      <c r="V25" s="39"/>
      <c r="W25" s="339"/>
      <c r="X25" s="173"/>
      <c r="Y25" s="340"/>
      <c r="Z25" s="173"/>
      <c r="AA25" s="341"/>
      <c r="AB25" s="176"/>
      <c r="AC25" s="342"/>
      <c r="AD25" s="30"/>
      <c r="AE25" s="30"/>
      <c r="AF25" s="30"/>
      <c r="AG25" s="30"/>
      <c r="AI25" s="30"/>
    </row>
    <row r="26" spans="1:39" ht="15.75" customHeight="1" x14ac:dyDescent="0.25">
      <c r="A26" s="1249" t="s">
        <v>102</v>
      </c>
      <c r="B26" s="1250"/>
      <c r="C26" s="1251"/>
      <c r="D26" s="343" t="s">
        <v>103</v>
      </c>
      <c r="E26" s="343" t="s">
        <v>61</v>
      </c>
      <c r="F26" s="344" t="s">
        <v>103</v>
      </c>
      <c r="G26" s="1252" t="s">
        <v>103</v>
      </c>
      <c r="H26" s="1251"/>
      <c r="I26" s="1252" t="s">
        <v>102</v>
      </c>
      <c r="J26" s="1250"/>
      <c r="K26" s="1251"/>
      <c r="L26" s="1253" t="s">
        <v>102</v>
      </c>
      <c r="M26" s="1250"/>
      <c r="N26" s="1251"/>
      <c r="O26" s="1252" t="s">
        <v>104</v>
      </c>
      <c r="P26" s="1251"/>
      <c r="Q26" s="1252" t="s">
        <v>104</v>
      </c>
      <c r="R26" s="1251"/>
      <c r="S26" s="1252" t="s">
        <v>104</v>
      </c>
      <c r="T26" s="1251"/>
      <c r="U26" s="1252" t="s">
        <v>104</v>
      </c>
      <c r="V26" s="1251"/>
      <c r="W26" s="1254" t="s">
        <v>102</v>
      </c>
      <c r="X26" s="1255"/>
      <c r="Y26" s="1256" t="s">
        <v>102</v>
      </c>
      <c r="Z26" s="1255"/>
      <c r="AA26" s="1240" t="s">
        <v>102</v>
      </c>
      <c r="AB26" s="1241"/>
      <c r="AC26" s="1242"/>
      <c r="AE26" s="30"/>
      <c r="AF26" s="30"/>
      <c r="AG26" s="30"/>
      <c r="AI26" s="30"/>
    </row>
    <row r="27" spans="1:39" ht="15.75" customHeight="1" x14ac:dyDescent="0.25">
      <c r="A27" s="345">
        <f>SUM(A3:A25)</f>
        <v>2438.9</v>
      </c>
      <c r="B27" s="346"/>
      <c r="C27" s="196">
        <f t="shared" ref="C27:D27" si="0">SUM(C3:C25)</f>
        <v>0</v>
      </c>
      <c r="D27" s="197">
        <f t="shared" si="0"/>
        <v>298.20999999999998</v>
      </c>
      <c r="E27" s="203">
        <v>0</v>
      </c>
      <c r="F27" s="347">
        <f t="shared" ref="F27:I27" si="1">SUM(F3:F25)</f>
        <v>0</v>
      </c>
      <c r="G27" s="197">
        <f t="shared" si="1"/>
        <v>4</v>
      </c>
      <c r="H27" s="199">
        <f t="shared" si="1"/>
        <v>78.899999999999991</v>
      </c>
      <c r="I27" s="197">
        <f t="shared" si="1"/>
        <v>126.65</v>
      </c>
      <c r="J27" s="348"/>
      <c r="K27" s="349">
        <f t="shared" ref="K27:L27" si="2">SUM(K3:K25)</f>
        <v>951.3</v>
      </c>
      <c r="L27" s="350">
        <f t="shared" si="2"/>
        <v>0</v>
      </c>
      <c r="M27" s="424">
        <f>N7+N6+N13+N14+N15+N16+N17</f>
        <v>0</v>
      </c>
      <c r="N27" s="197">
        <f>N4+N3+N8+N9+N10+N6+N5</f>
        <v>0</v>
      </c>
      <c r="O27" s="353">
        <f t="shared" ref="O27:P27" si="3">O3</f>
        <v>389.35</v>
      </c>
      <c r="P27" s="354">
        <f t="shared" si="3"/>
        <v>0</v>
      </c>
      <c r="Q27" s="203">
        <f>SUM(Q3:Q8)</f>
        <v>200</v>
      </c>
      <c r="R27" s="355"/>
      <c r="S27" s="203">
        <f>SUM(S3:S5)</f>
        <v>100</v>
      </c>
      <c r="T27" s="356"/>
      <c r="U27" s="357">
        <f>SUM(U15:U25)</f>
        <v>0</v>
      </c>
      <c r="V27" s="356"/>
      <c r="W27" s="1247">
        <f>SUM(W5:W25)</f>
        <v>0</v>
      </c>
      <c r="X27" s="1248"/>
      <c r="Y27" s="1247">
        <f>SUM(Y3:Y25)</f>
        <v>0</v>
      </c>
      <c r="Z27" s="1248"/>
      <c r="AA27" s="358">
        <f>SUM(AA3:AA25)</f>
        <v>0</v>
      </c>
      <c r="AB27" s="359"/>
      <c r="AC27" s="360">
        <f>SUM(AC3:AC25)</f>
        <v>820</v>
      </c>
      <c r="AE27" s="30"/>
      <c r="AF27" s="30"/>
      <c r="AG27" s="30"/>
      <c r="AI27" s="30"/>
    </row>
    <row r="28" spans="1:39" ht="15.75" customHeight="1" x14ac:dyDescent="0.25">
      <c r="M28" t="s">
        <v>207</v>
      </c>
      <c r="N28" t="s">
        <v>208</v>
      </c>
      <c r="Q28" s="547">
        <f>SUM(Q10:Q25)</f>
        <v>0</v>
      </c>
      <c r="S28" s="547">
        <f>SUM(S7:S25)</f>
        <v>0</v>
      </c>
      <c r="V28" s="356"/>
      <c r="AE28" s="30"/>
      <c r="AF28" s="30"/>
      <c r="AG28" s="30"/>
      <c r="AI28" s="30"/>
    </row>
    <row r="29" spans="1:39" ht="15.75" customHeight="1" x14ac:dyDescent="0.25">
      <c r="O29">
        <v>200</v>
      </c>
      <c r="AE29" s="30"/>
      <c r="AF29" s="30"/>
      <c r="AG29" s="30"/>
      <c r="AI29" s="30"/>
    </row>
    <row r="30" spans="1:39" ht="15.75" customHeight="1" x14ac:dyDescent="0.25">
      <c r="E30" s="30"/>
      <c r="F30" s="30"/>
      <c r="G30" s="30"/>
      <c r="M30" s="30"/>
      <c r="P30" s="30"/>
      <c r="R30" s="30"/>
      <c r="T30" s="30"/>
      <c r="U30" s="30"/>
      <c r="AF30" s="30"/>
      <c r="AG30" s="30"/>
      <c r="AI30" s="30"/>
      <c r="AJ30" s="30"/>
      <c r="AK30" s="30"/>
      <c r="AM30" s="30"/>
    </row>
    <row r="31" spans="1:39" ht="15.75" customHeight="1" x14ac:dyDescent="0.25">
      <c r="E31" s="30"/>
      <c r="F31" s="30"/>
      <c r="G31" s="30"/>
      <c r="J31" s="30"/>
      <c r="K31" s="30"/>
      <c r="L31" s="30"/>
      <c r="M31" s="30"/>
      <c r="P31" s="30"/>
      <c r="R31" s="30"/>
      <c r="T31" s="30"/>
      <c r="U31" s="361"/>
      <c r="AF31" s="30"/>
      <c r="AG31" s="30"/>
      <c r="AI31" s="30"/>
      <c r="AJ31" s="30"/>
      <c r="AK31" s="30"/>
      <c r="AM31" s="30"/>
    </row>
    <row r="32" spans="1:39" ht="15.75" customHeight="1" x14ac:dyDescent="0.25">
      <c r="E32" s="30"/>
      <c r="F32" s="30"/>
      <c r="G32" s="30"/>
      <c r="J32" s="30"/>
      <c r="K32" s="30"/>
      <c r="L32" s="30"/>
      <c r="M32" s="30"/>
      <c r="P32" s="30"/>
      <c r="R32" s="30"/>
      <c r="T32" s="30"/>
      <c r="U32" s="30"/>
      <c r="AF32" s="30"/>
      <c r="AG32" s="30"/>
      <c r="AI32" s="30"/>
      <c r="AJ32" s="30"/>
      <c r="AK32" s="30"/>
      <c r="AM32" s="30"/>
    </row>
    <row r="33" spans="5:39" ht="15.75" customHeight="1" x14ac:dyDescent="0.25">
      <c r="E33" s="30"/>
      <c r="F33" s="30"/>
      <c r="G33" s="30"/>
      <c r="J33" s="30"/>
      <c r="K33" s="30"/>
      <c r="L33" s="30"/>
      <c r="M33" s="30"/>
      <c r="P33" s="30"/>
      <c r="Q33" s="30"/>
      <c r="R33" s="30"/>
      <c r="T33" s="30"/>
      <c r="U33" s="30"/>
      <c r="AF33" s="30"/>
      <c r="AG33" s="30"/>
      <c r="AI33" s="30"/>
      <c r="AJ33" s="30"/>
      <c r="AK33" s="30"/>
      <c r="AM33" s="30"/>
    </row>
    <row r="34" spans="5:39" ht="15.75" customHeight="1" x14ac:dyDescent="0.25">
      <c r="E34" s="30"/>
      <c r="F34" s="30"/>
      <c r="G34" s="30"/>
      <c r="J34" s="30"/>
      <c r="K34" s="30"/>
      <c r="L34" s="30"/>
      <c r="M34" s="30"/>
      <c r="P34" s="30"/>
      <c r="Q34" s="30"/>
      <c r="R34" s="30"/>
      <c r="T34" s="30"/>
      <c r="U34" s="30"/>
      <c r="AF34" s="30"/>
      <c r="AG34" s="30"/>
      <c r="AI34" s="30"/>
      <c r="AJ34" s="30"/>
      <c r="AK34" s="30"/>
      <c r="AM34" s="30"/>
    </row>
    <row r="35" spans="5:39" ht="15.75" customHeight="1" x14ac:dyDescent="0.25">
      <c r="E35" s="30"/>
      <c r="F35" s="30"/>
      <c r="G35" s="30"/>
      <c r="J35" s="30"/>
      <c r="K35" s="30"/>
      <c r="L35" s="30"/>
      <c r="M35" s="30"/>
      <c r="P35" s="30"/>
      <c r="Q35" s="30"/>
      <c r="R35" s="30"/>
      <c r="T35" s="30"/>
      <c r="U35" s="30"/>
      <c r="AF35" s="30"/>
      <c r="AG35" s="30"/>
      <c r="AI35" s="30"/>
      <c r="AJ35" s="30"/>
      <c r="AK35" s="30"/>
      <c r="AM35" s="30"/>
    </row>
    <row r="36" spans="5:39" ht="15.75" customHeight="1" x14ac:dyDescent="0.25">
      <c r="Q36" s="30"/>
    </row>
    <row r="37" spans="5:39" ht="15.75" customHeight="1" x14ac:dyDescent="0.25">
      <c r="Q37" s="30"/>
    </row>
    <row r="38" spans="5:39" ht="15.75" customHeight="1" x14ac:dyDescent="0.25"/>
    <row r="39" spans="5:39" ht="15.75" customHeight="1" x14ac:dyDescent="0.25"/>
    <row r="40" spans="5:39" ht="15.75" customHeight="1" x14ac:dyDescent="0.25"/>
    <row r="41" spans="5:39" ht="15.75" customHeight="1" x14ac:dyDescent="0.25"/>
    <row r="42" spans="5:39" ht="15.75" customHeight="1" x14ac:dyDescent="0.25"/>
    <row r="43" spans="5:39" ht="15.75" customHeight="1" x14ac:dyDescent="0.25"/>
    <row r="44" spans="5:39" ht="15.75" customHeight="1" x14ac:dyDescent="0.25"/>
    <row r="45" spans="5:39" ht="15.75" customHeight="1" x14ac:dyDescent="0.25"/>
    <row r="46" spans="5:39" ht="15.75" customHeight="1" x14ac:dyDescent="0.25"/>
    <row r="47" spans="5:39" ht="15.75" customHeight="1" x14ac:dyDescent="0.25"/>
    <row r="48" spans="5:3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27">
    <mergeCell ref="O4:P4"/>
    <mergeCell ref="W26:X26"/>
    <mergeCell ref="Y26:Z26"/>
    <mergeCell ref="AA26:AC26"/>
    <mergeCell ref="AD9:AE9"/>
    <mergeCell ref="AD4:AE4"/>
    <mergeCell ref="O26:P26"/>
    <mergeCell ref="Q26:R26"/>
    <mergeCell ref="S26:T26"/>
    <mergeCell ref="U26:V26"/>
    <mergeCell ref="W27:X27"/>
    <mergeCell ref="Y27:Z27"/>
    <mergeCell ref="O5:P5"/>
    <mergeCell ref="A26:C26"/>
    <mergeCell ref="G26:H26"/>
    <mergeCell ref="I26:K26"/>
    <mergeCell ref="L26:N26"/>
    <mergeCell ref="AA1:AC1"/>
    <mergeCell ref="AD1:AE1"/>
    <mergeCell ref="AF1:AG1"/>
    <mergeCell ref="Q1:Z1"/>
    <mergeCell ref="AF4:AG4"/>
    <mergeCell ref="A1:F1"/>
    <mergeCell ref="G1:H1"/>
    <mergeCell ref="I1:K1"/>
    <mergeCell ref="L1:N1"/>
    <mergeCell ref="O1:P1"/>
  </mergeCells>
  <pageMargins left="0.7" right="0.7" top="0.75" bottom="0.75" header="0" footer="0"/>
  <pageSetup orientation="landscape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1F497D"/>
  </sheetPr>
  <dimension ref="A1:AP102"/>
  <sheetViews>
    <sheetView topLeftCell="L1" workbookViewId="0">
      <pane ySplit="1" topLeftCell="A2" activePane="bottomLeft" state="frozen"/>
      <selection activeCell="L1" sqref="L1"/>
      <selection pane="bottomLeft" activeCell="B3" sqref="B3"/>
    </sheetView>
  </sheetViews>
  <sheetFormatPr defaultColWidth="14.42578125" defaultRowHeight="15" customHeight="1" x14ac:dyDescent="0.25"/>
  <cols>
    <col min="1" max="1" width="11" customWidth="1"/>
    <col min="2" max="2" width="9.140625" customWidth="1"/>
    <col min="3" max="3" width="9.28515625" customWidth="1"/>
    <col min="4" max="5" width="8.28515625" customWidth="1"/>
    <col min="6" max="8" width="8" customWidth="1"/>
    <col min="9" max="9" width="8.28515625" customWidth="1"/>
    <col min="10" max="10" width="8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10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9.7109375" customWidth="1"/>
    <col min="21" max="21" width="8.28515625" customWidth="1"/>
    <col min="22" max="22" width="9.140625" customWidth="1"/>
    <col min="23" max="25" width="8.28515625" customWidth="1"/>
    <col min="26" max="26" width="8" customWidth="1"/>
    <col min="27" max="27" width="8.28515625" customWidth="1"/>
    <col min="28" max="28" width="8" customWidth="1"/>
    <col min="29" max="29" width="9.28515625" customWidth="1"/>
    <col min="30" max="30" width="12.85546875" customWidth="1"/>
    <col min="31" max="31" width="12.7109375" customWidth="1"/>
    <col min="32" max="32" width="9.140625" customWidth="1"/>
    <col min="33" max="33" width="10.28515625" customWidth="1"/>
    <col min="34" max="34" width="14.28515625" customWidth="1"/>
    <col min="35" max="35" width="9.42578125" customWidth="1"/>
    <col min="36" max="36" width="12.42578125" customWidth="1"/>
    <col min="37" max="37" width="8.5703125" customWidth="1"/>
    <col min="38" max="38" width="11.28515625" customWidth="1"/>
    <col min="39" max="42" width="9.140625" customWidth="1"/>
  </cols>
  <sheetData>
    <row r="1" spans="1:42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33"/>
      <c r="Y1" s="1233"/>
      <c r="Z1" s="1220"/>
      <c r="AA1" s="1232" t="s">
        <v>43</v>
      </c>
      <c r="AB1" s="1233"/>
      <c r="AC1" s="1234"/>
      <c r="AD1" s="1219" t="s">
        <v>44</v>
      </c>
      <c r="AE1" s="1220"/>
      <c r="AF1" s="1243" t="s">
        <v>45</v>
      </c>
      <c r="AG1" s="1234"/>
      <c r="AH1" s="43"/>
      <c r="AI1" s="43"/>
      <c r="AJ1" s="44"/>
      <c r="AK1" s="44"/>
      <c r="AL1" s="44"/>
      <c r="AM1" s="44"/>
      <c r="AN1" s="43"/>
      <c r="AO1" s="43"/>
      <c r="AP1" s="43"/>
    </row>
    <row r="2" spans="1:42" ht="15.75" x14ac:dyDescent="0.25">
      <c r="A2" s="48" t="s">
        <v>46</v>
      </c>
      <c r="B2" s="276" t="s">
        <v>47</v>
      </c>
      <c r="C2" s="277" t="s">
        <v>48</v>
      </c>
      <c r="D2" s="48" t="s">
        <v>46</v>
      </c>
      <c r="E2" s="49" t="s">
        <v>47</v>
      </c>
      <c r="F2" s="276" t="s">
        <v>49</v>
      </c>
      <c r="G2" s="278" t="s">
        <v>49</v>
      </c>
      <c r="H2" s="279" t="s">
        <v>46</v>
      </c>
      <c r="I2" s="280" t="s">
        <v>49</v>
      </c>
      <c r="J2" s="281" t="s">
        <v>47</v>
      </c>
      <c r="K2" s="276" t="s">
        <v>46</v>
      </c>
      <c r="L2" s="280" t="s">
        <v>50</v>
      </c>
      <c r="M2" s="282" t="s">
        <v>51</v>
      </c>
      <c r="N2" s="276" t="s">
        <v>52</v>
      </c>
      <c r="O2" s="280" t="s">
        <v>53</v>
      </c>
      <c r="P2" s="277" t="s">
        <v>50</v>
      </c>
      <c r="Q2" s="283" t="s">
        <v>54</v>
      </c>
      <c r="R2" s="276" t="s">
        <v>47</v>
      </c>
      <c r="S2" s="283" t="s">
        <v>55</v>
      </c>
      <c r="T2" s="276" t="s">
        <v>47</v>
      </c>
      <c r="U2" s="283" t="s">
        <v>148</v>
      </c>
      <c r="V2" s="276" t="s">
        <v>47</v>
      </c>
      <c r="W2" s="45" t="s">
        <v>212</v>
      </c>
      <c r="X2" s="284" t="s">
        <v>47</v>
      </c>
      <c r="Y2" s="285" t="s">
        <v>201</v>
      </c>
      <c r="Z2" s="276" t="s">
        <v>47</v>
      </c>
      <c r="AA2" s="283" t="s">
        <v>50</v>
      </c>
      <c r="AB2" s="49" t="s">
        <v>13</v>
      </c>
      <c r="AC2" s="276" t="s">
        <v>52</v>
      </c>
      <c r="AD2" s="286" t="s">
        <v>50</v>
      </c>
      <c r="AE2" s="287" t="s">
        <v>52</v>
      </c>
      <c r="AF2" s="286" t="s">
        <v>50</v>
      </c>
      <c r="AG2" s="288" t="s">
        <v>52</v>
      </c>
      <c r="AJ2" s="30"/>
      <c r="AK2" s="30"/>
      <c r="AL2" s="30"/>
      <c r="AM2" s="30"/>
    </row>
    <row r="3" spans="1:42" x14ac:dyDescent="0.25">
      <c r="A3" s="548">
        <v>1718.39</v>
      </c>
      <c r="B3" s="96">
        <v>44054</v>
      </c>
      <c r="C3" s="290"/>
      <c r="D3" s="98">
        <v>111.01</v>
      </c>
      <c r="E3" s="71">
        <v>44055</v>
      </c>
      <c r="F3" s="72"/>
      <c r="G3" s="73"/>
      <c r="H3" s="74"/>
      <c r="I3" s="86"/>
      <c r="J3" s="76"/>
      <c r="K3" s="74"/>
      <c r="L3" s="291"/>
      <c r="M3" s="371" t="s">
        <v>213</v>
      </c>
      <c r="N3" s="373">
        <v>51</v>
      </c>
      <c r="O3" s="80">
        <f>AC27-AG6-AE3</f>
        <v>52.410000000000082</v>
      </c>
      <c r="P3" s="294">
        <v>0</v>
      </c>
      <c r="Q3" s="84">
        <v>50</v>
      </c>
      <c r="R3" s="83">
        <v>44055</v>
      </c>
      <c r="S3" s="84">
        <v>10</v>
      </c>
      <c r="T3" s="85" t="s">
        <v>214</v>
      </c>
      <c r="U3" s="86">
        <v>40</v>
      </c>
      <c r="V3" s="85">
        <v>44055</v>
      </c>
      <c r="W3" s="295"/>
      <c r="X3" s="296"/>
      <c r="Y3" s="133"/>
      <c r="Z3" s="83"/>
      <c r="AA3" s="297"/>
      <c r="AB3" s="89" t="s">
        <v>60</v>
      </c>
      <c r="AC3" s="373"/>
      <c r="AD3" s="299">
        <v>0</v>
      </c>
      <c r="AE3" s="300">
        <v>35</v>
      </c>
      <c r="AF3" s="301">
        <f>AD6+AF6</f>
        <v>1718.39</v>
      </c>
      <c r="AG3" s="302">
        <f>AG6+AE6</f>
        <v>1380.19</v>
      </c>
      <c r="AJ3" s="30"/>
      <c r="AK3" s="30"/>
      <c r="AL3" s="30"/>
    </row>
    <row r="4" spans="1:42" ht="18.75" x14ac:dyDescent="0.25">
      <c r="A4" s="303"/>
      <c r="B4" s="96"/>
      <c r="C4" s="304"/>
      <c r="D4" s="98">
        <v>103.4</v>
      </c>
      <c r="E4" s="71">
        <v>44064</v>
      </c>
      <c r="F4" s="99"/>
      <c r="G4" s="100"/>
      <c r="H4" s="101"/>
      <c r="I4" s="102"/>
      <c r="J4" s="76"/>
      <c r="K4" s="101"/>
      <c r="L4" s="305"/>
      <c r="M4" s="374" t="s">
        <v>215</v>
      </c>
      <c r="N4" s="150">
        <v>30.45</v>
      </c>
      <c r="O4" s="1223" t="s">
        <v>61</v>
      </c>
      <c r="P4" s="1224"/>
      <c r="Q4" s="118">
        <v>50</v>
      </c>
      <c r="R4" s="83">
        <v>44058</v>
      </c>
      <c r="S4" s="118">
        <v>10</v>
      </c>
      <c r="T4" s="85">
        <v>44071</v>
      </c>
      <c r="U4" s="108">
        <v>20</v>
      </c>
      <c r="V4" s="85">
        <v>44057</v>
      </c>
      <c r="W4" s="546"/>
      <c r="X4" s="83"/>
      <c r="Y4" s="133"/>
      <c r="Z4" s="83"/>
      <c r="AA4" s="309"/>
      <c r="AB4" s="89">
        <v>44058</v>
      </c>
      <c r="AC4" s="549">
        <v>500</v>
      </c>
      <c r="AD4" s="1238" t="s">
        <v>63</v>
      </c>
      <c r="AE4" s="1245"/>
      <c r="AF4" s="1246" t="s">
        <v>64</v>
      </c>
      <c r="AG4" s="1237"/>
      <c r="AJ4" s="30"/>
      <c r="AK4" s="112"/>
      <c r="AL4" s="30"/>
    </row>
    <row r="5" spans="1:42" ht="15.75" x14ac:dyDescent="0.25">
      <c r="A5" s="303"/>
      <c r="B5" s="96"/>
      <c r="C5" s="304"/>
      <c r="D5" s="98">
        <v>95.01</v>
      </c>
      <c r="E5" s="71">
        <v>44070</v>
      </c>
      <c r="F5" s="99"/>
      <c r="G5" s="100"/>
      <c r="H5" s="101"/>
      <c r="I5" s="102"/>
      <c r="J5" s="76"/>
      <c r="K5" s="101"/>
      <c r="L5" s="311"/>
      <c r="M5" s="116" t="s">
        <v>216</v>
      </c>
      <c r="N5" s="150">
        <v>7.25</v>
      </c>
      <c r="O5" s="1225">
        <f>AD9</f>
        <v>150</v>
      </c>
      <c r="P5" s="1226"/>
      <c r="Q5" s="118">
        <v>50</v>
      </c>
      <c r="R5" s="83">
        <v>44060</v>
      </c>
      <c r="S5" s="118"/>
      <c r="T5" s="85"/>
      <c r="U5" s="108">
        <v>40</v>
      </c>
      <c r="V5" s="85">
        <v>44058</v>
      </c>
      <c r="W5" s="308"/>
      <c r="X5" s="83"/>
      <c r="Y5" s="133"/>
      <c r="Z5" s="83"/>
      <c r="AA5" s="309"/>
      <c r="AB5" s="89">
        <v>44062</v>
      </c>
      <c r="AC5" s="329">
        <v>500</v>
      </c>
      <c r="AD5" s="119" t="s">
        <v>50</v>
      </c>
      <c r="AE5" s="313" t="s">
        <v>52</v>
      </c>
      <c r="AF5" s="121" t="s">
        <v>50</v>
      </c>
      <c r="AG5" s="122" t="s">
        <v>52</v>
      </c>
      <c r="AJ5" s="30"/>
      <c r="AK5" s="112"/>
      <c r="AL5" s="30"/>
    </row>
    <row r="6" spans="1:42" x14ac:dyDescent="0.25">
      <c r="A6" s="303"/>
      <c r="B6" s="96"/>
      <c r="C6" s="304"/>
      <c r="D6" s="98">
        <v>72.75</v>
      </c>
      <c r="E6" s="71">
        <v>44071</v>
      </c>
      <c r="F6" s="99"/>
      <c r="G6" s="100"/>
      <c r="H6" s="101"/>
      <c r="I6" s="102"/>
      <c r="J6" s="76"/>
      <c r="K6" s="101"/>
      <c r="L6" s="311"/>
      <c r="M6" s="330" t="s">
        <v>217</v>
      </c>
      <c r="N6" s="150">
        <v>52.25</v>
      </c>
      <c r="O6" s="314"/>
      <c r="P6" s="315"/>
      <c r="Q6" s="118">
        <v>20</v>
      </c>
      <c r="R6" s="83">
        <v>44063</v>
      </c>
      <c r="S6" s="118"/>
      <c r="T6" s="85"/>
      <c r="U6" s="108"/>
      <c r="V6" s="85" t="s">
        <v>214</v>
      </c>
      <c r="W6" s="308"/>
      <c r="X6" s="83"/>
      <c r="Y6" s="133"/>
      <c r="Z6" s="83"/>
      <c r="AA6" s="309"/>
      <c r="AB6" s="89"/>
      <c r="AC6" s="329"/>
      <c r="AD6" s="316">
        <f>A27+L27</f>
        <v>1718.39</v>
      </c>
      <c r="AE6" s="317">
        <f>D27+H27+K27+M27</f>
        <v>467.6</v>
      </c>
      <c r="AF6" s="128">
        <f>L27+C27</f>
        <v>0</v>
      </c>
      <c r="AG6" s="129">
        <f>F27+G27+I27+N27+Q27+S27+U27+W27+Y27</f>
        <v>912.58999999999992</v>
      </c>
      <c r="AJ6" s="30"/>
      <c r="AK6" s="112"/>
      <c r="AL6" s="30"/>
    </row>
    <row r="7" spans="1:42" ht="18.75" x14ac:dyDescent="0.25">
      <c r="A7" s="303"/>
      <c r="B7" s="96"/>
      <c r="C7" s="304"/>
      <c r="D7" s="98">
        <v>85.43</v>
      </c>
      <c r="E7" s="71">
        <v>44071</v>
      </c>
      <c r="F7" s="99"/>
      <c r="G7" s="100"/>
      <c r="H7" s="101"/>
      <c r="I7" s="108"/>
      <c r="J7" s="76"/>
      <c r="K7" s="101"/>
      <c r="L7" s="311"/>
      <c r="M7" s="330" t="s">
        <v>218</v>
      </c>
      <c r="N7" s="150">
        <v>22.43</v>
      </c>
      <c r="O7" s="144"/>
      <c r="P7" s="145"/>
      <c r="Q7" s="118"/>
      <c r="R7" s="83"/>
      <c r="S7" s="118"/>
      <c r="T7" s="85"/>
      <c r="U7" s="108">
        <v>20</v>
      </c>
      <c r="V7" s="85">
        <v>44060</v>
      </c>
      <c r="W7" s="308"/>
      <c r="X7" s="83"/>
      <c r="Y7" s="133"/>
      <c r="Z7" s="83"/>
      <c r="AA7" s="309"/>
      <c r="AB7" s="89"/>
      <c r="AC7" s="329"/>
      <c r="AD7" s="320" t="s">
        <v>66</v>
      </c>
      <c r="AE7" s="321" t="s">
        <v>67</v>
      </c>
      <c r="AJ7" s="30"/>
      <c r="AK7" s="30"/>
      <c r="AL7" s="30"/>
    </row>
    <row r="8" spans="1:42" x14ac:dyDescent="0.25">
      <c r="A8" s="303"/>
      <c r="B8" s="96"/>
      <c r="C8" s="304"/>
      <c r="D8" s="98"/>
      <c r="E8" s="71"/>
      <c r="F8" s="99"/>
      <c r="G8" s="100"/>
      <c r="H8" s="101"/>
      <c r="I8" s="108"/>
      <c r="J8" s="76"/>
      <c r="K8" s="101"/>
      <c r="L8" s="311"/>
      <c r="M8" s="330" t="s">
        <v>219</v>
      </c>
      <c r="N8" s="150">
        <v>111.32</v>
      </c>
      <c r="O8" s="133"/>
      <c r="P8" s="134"/>
      <c r="Q8" s="118"/>
      <c r="R8" s="83"/>
      <c r="S8" s="118"/>
      <c r="T8" s="85"/>
      <c r="U8" s="322">
        <v>70</v>
      </c>
      <c r="V8" s="323">
        <v>44061</v>
      </c>
      <c r="W8" s="324"/>
      <c r="X8" s="137"/>
      <c r="Y8" s="325"/>
      <c r="Z8" s="83"/>
      <c r="AA8" s="309"/>
      <c r="AB8" s="89"/>
      <c r="AC8" s="329"/>
      <c r="AD8" s="326">
        <v>150</v>
      </c>
      <c r="AE8" s="327">
        <v>0</v>
      </c>
      <c r="AJ8" s="30"/>
      <c r="AK8" s="30"/>
      <c r="AL8" s="30"/>
    </row>
    <row r="9" spans="1:42" x14ac:dyDescent="0.25">
      <c r="A9" s="303"/>
      <c r="B9" s="76"/>
      <c r="C9" s="328"/>
      <c r="D9" s="98"/>
      <c r="E9" s="71"/>
      <c r="F9" s="99"/>
      <c r="G9" s="100"/>
      <c r="H9" s="143"/>
      <c r="I9" s="108"/>
      <c r="J9" s="76"/>
      <c r="K9" s="101"/>
      <c r="L9" s="311"/>
      <c r="M9" s="330" t="s">
        <v>220</v>
      </c>
      <c r="N9" s="150">
        <v>38.25</v>
      </c>
      <c r="O9" s="144"/>
      <c r="P9" s="145"/>
      <c r="Q9" s="118"/>
      <c r="R9" s="83"/>
      <c r="S9" s="118"/>
      <c r="T9" s="85"/>
      <c r="U9" s="108">
        <v>10</v>
      </c>
      <c r="V9" s="85">
        <v>44062</v>
      </c>
      <c r="W9" s="308"/>
      <c r="X9" s="83"/>
      <c r="Y9" s="133"/>
      <c r="Z9" s="83"/>
      <c r="AA9" s="309"/>
      <c r="AB9" s="89"/>
      <c r="AC9" s="329"/>
      <c r="AD9" s="1244">
        <f>AD8-AE8</f>
        <v>150</v>
      </c>
      <c r="AE9" s="1222"/>
      <c r="AJ9" s="30"/>
      <c r="AK9" s="30"/>
      <c r="AL9" s="146"/>
    </row>
    <row r="10" spans="1:42" x14ac:dyDescent="0.25">
      <c r="A10" s="303"/>
      <c r="B10" s="76"/>
      <c r="C10" s="328"/>
      <c r="D10" s="98"/>
      <c r="E10" s="71"/>
      <c r="F10" s="99"/>
      <c r="G10" s="100"/>
      <c r="H10" s="101"/>
      <c r="I10" s="108"/>
      <c r="J10" s="76"/>
      <c r="K10" s="101"/>
      <c r="L10" s="311"/>
      <c r="M10" s="330" t="s">
        <v>221</v>
      </c>
      <c r="N10" s="150">
        <v>64.64</v>
      </c>
      <c r="O10" s="144"/>
      <c r="P10" s="145"/>
      <c r="Q10" s="118"/>
      <c r="R10" s="83"/>
      <c r="S10" s="118"/>
      <c r="T10" s="85"/>
      <c r="U10" s="108">
        <v>20</v>
      </c>
      <c r="V10" s="85">
        <v>44067</v>
      </c>
      <c r="W10" s="308"/>
      <c r="X10" s="83"/>
      <c r="Y10" s="133"/>
      <c r="Z10" s="83"/>
      <c r="AA10" s="309"/>
      <c r="AB10" s="89"/>
      <c r="AC10" s="329"/>
      <c r="AJ10" s="30"/>
      <c r="AK10" s="30"/>
      <c r="AL10" s="30"/>
    </row>
    <row r="11" spans="1:42" x14ac:dyDescent="0.25">
      <c r="A11" s="303"/>
      <c r="B11" s="76"/>
      <c r="C11" s="328"/>
      <c r="D11" s="98"/>
      <c r="E11" s="71"/>
      <c r="F11" s="149"/>
      <c r="G11" s="100"/>
      <c r="H11" s="101"/>
      <c r="I11" s="108"/>
      <c r="J11" s="76"/>
      <c r="K11" s="101"/>
      <c r="L11" s="311"/>
      <c r="M11" s="330"/>
      <c r="N11" s="150"/>
      <c r="O11" s="144"/>
      <c r="P11" s="145"/>
      <c r="Q11" s="118"/>
      <c r="R11" s="83"/>
      <c r="S11" s="118"/>
      <c r="T11" s="85"/>
      <c r="U11" s="108">
        <v>80</v>
      </c>
      <c r="V11" s="85">
        <v>44067</v>
      </c>
      <c r="W11" s="308"/>
      <c r="X11" s="83"/>
      <c r="Y11" s="133"/>
      <c r="Z11" s="83"/>
      <c r="AA11" s="309"/>
      <c r="AB11" s="89"/>
      <c r="AC11" s="329"/>
      <c r="AJ11" s="30"/>
      <c r="AK11" s="30"/>
      <c r="AL11" s="30"/>
    </row>
    <row r="12" spans="1:42" x14ac:dyDescent="0.25">
      <c r="A12" s="303"/>
      <c r="B12" s="76"/>
      <c r="C12" s="328"/>
      <c r="D12" s="148"/>
      <c r="E12" s="71"/>
      <c r="F12" s="149"/>
      <c r="G12" s="100"/>
      <c r="H12" s="101"/>
      <c r="I12" s="108"/>
      <c r="J12" s="76"/>
      <c r="K12" s="101"/>
      <c r="L12" s="311"/>
      <c r="M12" s="330"/>
      <c r="N12" s="150"/>
      <c r="O12" s="144"/>
      <c r="P12" s="145"/>
      <c r="Q12" s="118"/>
      <c r="R12" s="83"/>
      <c r="S12" s="118"/>
      <c r="T12" s="85"/>
      <c r="U12" s="108">
        <v>25</v>
      </c>
      <c r="V12" s="85">
        <v>44069</v>
      </c>
      <c r="W12" s="308"/>
      <c r="X12" s="83"/>
      <c r="Y12" s="133"/>
      <c r="Z12" s="83"/>
      <c r="AA12" s="309"/>
      <c r="AB12" s="89"/>
      <c r="AC12" s="329"/>
      <c r="AJ12" s="30"/>
      <c r="AK12" s="30"/>
      <c r="AL12" s="30"/>
    </row>
    <row r="13" spans="1:42" x14ac:dyDescent="0.25">
      <c r="A13" s="303"/>
      <c r="B13" s="76"/>
      <c r="C13" s="328"/>
      <c r="D13" s="148"/>
      <c r="E13" s="71"/>
      <c r="F13" s="149"/>
      <c r="G13" s="100"/>
      <c r="H13" s="101"/>
      <c r="I13" s="108"/>
      <c r="J13" s="76"/>
      <c r="K13" s="101"/>
      <c r="L13" s="311"/>
      <c r="M13" s="330"/>
      <c r="N13" s="150"/>
      <c r="O13" s="144"/>
      <c r="P13" s="145"/>
      <c r="Q13" s="118"/>
      <c r="R13" s="83"/>
      <c r="S13" s="118"/>
      <c r="T13" s="85"/>
      <c r="U13" s="108">
        <v>20</v>
      </c>
      <c r="V13" s="85">
        <v>44071</v>
      </c>
      <c r="W13" s="308"/>
      <c r="X13" s="83"/>
      <c r="Y13" s="133"/>
      <c r="Z13" s="83"/>
      <c r="AA13" s="309"/>
      <c r="AB13" s="89"/>
      <c r="AC13" s="329"/>
      <c r="AD13" s="30"/>
      <c r="AE13" s="30"/>
      <c r="AF13" s="30"/>
      <c r="AG13" s="30"/>
      <c r="AI13" s="30"/>
      <c r="AJ13" s="30"/>
      <c r="AK13" s="30"/>
      <c r="AL13" s="30"/>
    </row>
    <row r="14" spans="1:42" x14ac:dyDescent="0.25">
      <c r="A14" s="303"/>
      <c r="B14" s="76"/>
      <c r="C14" s="328"/>
      <c r="D14" s="152"/>
      <c r="E14" s="71"/>
      <c r="F14" s="149"/>
      <c r="G14" s="100"/>
      <c r="H14" s="101"/>
      <c r="I14" s="108"/>
      <c r="J14" s="76"/>
      <c r="K14" s="101"/>
      <c r="L14" s="311"/>
      <c r="M14" s="330"/>
      <c r="N14" s="150"/>
      <c r="O14" s="144"/>
      <c r="P14" s="145"/>
      <c r="Q14" s="118"/>
      <c r="R14" s="83"/>
      <c r="S14" s="118"/>
      <c r="T14" s="85"/>
      <c r="U14" s="108"/>
      <c r="V14" s="85"/>
      <c r="W14" s="308"/>
      <c r="X14" s="83"/>
      <c r="Y14" s="133"/>
      <c r="Z14" s="83"/>
      <c r="AA14" s="309"/>
      <c r="AB14" s="89"/>
      <c r="AC14" s="329"/>
      <c r="AD14" s="30"/>
      <c r="AE14" s="30"/>
      <c r="AF14" s="30"/>
      <c r="AG14" s="30"/>
      <c r="AI14" s="30"/>
    </row>
    <row r="15" spans="1:42" x14ac:dyDescent="0.25">
      <c r="A15" s="303"/>
      <c r="B15" s="76"/>
      <c r="C15" s="328"/>
      <c r="D15" s="148"/>
      <c r="E15" s="71"/>
      <c r="F15" s="149"/>
      <c r="G15" s="100"/>
      <c r="H15" s="101"/>
      <c r="I15" s="108"/>
      <c r="J15" s="76"/>
      <c r="K15" s="101"/>
      <c r="L15" s="311"/>
      <c r="M15" s="330"/>
      <c r="N15" s="150"/>
      <c r="O15" s="144"/>
      <c r="P15" s="145"/>
      <c r="Q15" s="118"/>
      <c r="R15" s="83"/>
      <c r="S15" s="118"/>
      <c r="T15" s="85"/>
      <c r="U15" s="108"/>
      <c r="V15" s="85"/>
      <c r="W15" s="308"/>
      <c r="X15" s="83"/>
      <c r="Y15" s="133"/>
      <c r="Z15" s="83"/>
      <c r="AA15" s="309"/>
      <c r="AB15" s="89"/>
      <c r="AC15" s="329"/>
      <c r="AD15" s="30"/>
      <c r="AE15" s="30"/>
      <c r="AF15" s="30"/>
      <c r="AG15" s="30"/>
      <c r="AI15" s="30"/>
    </row>
    <row r="16" spans="1:42" x14ac:dyDescent="0.25">
      <c r="A16" s="303"/>
      <c r="B16" s="76"/>
      <c r="C16" s="328"/>
      <c r="D16" s="148"/>
      <c r="E16" s="71"/>
      <c r="F16" s="149"/>
      <c r="G16" s="100"/>
      <c r="H16" s="101"/>
      <c r="I16" s="108"/>
      <c r="J16" s="76"/>
      <c r="K16" s="101"/>
      <c r="L16" s="311"/>
      <c r="M16" s="330"/>
      <c r="N16" s="150"/>
      <c r="O16" s="144"/>
      <c r="P16" s="145"/>
      <c r="Q16" s="118"/>
      <c r="R16" s="83"/>
      <c r="S16" s="118"/>
      <c r="T16" s="85"/>
      <c r="U16" s="108"/>
      <c r="V16" s="85"/>
      <c r="W16" s="308"/>
      <c r="X16" s="83"/>
      <c r="Y16" s="133"/>
      <c r="Z16" s="83"/>
      <c r="AA16" s="309"/>
      <c r="AB16" s="89"/>
      <c r="AC16" s="329"/>
      <c r="AD16" s="30"/>
      <c r="AE16" s="30"/>
      <c r="AF16" s="30"/>
      <c r="AG16" s="30"/>
      <c r="AI16" s="30"/>
    </row>
    <row r="17" spans="1:39" x14ac:dyDescent="0.25">
      <c r="A17" s="303"/>
      <c r="B17" s="76"/>
      <c r="C17" s="328"/>
      <c r="D17" s="148"/>
      <c r="E17" s="71"/>
      <c r="F17" s="149"/>
      <c r="G17" s="100"/>
      <c r="H17" s="101"/>
      <c r="I17" s="108"/>
      <c r="J17" s="76"/>
      <c r="K17" s="101"/>
      <c r="L17" s="311"/>
      <c r="M17" s="330"/>
      <c r="N17" s="150"/>
      <c r="O17" s="144"/>
      <c r="P17" s="145"/>
      <c r="Q17" s="118"/>
      <c r="R17" s="83"/>
      <c r="S17" s="118"/>
      <c r="T17" s="85"/>
      <c r="U17" s="108"/>
      <c r="V17" s="85"/>
      <c r="W17" s="308"/>
      <c r="X17" s="83"/>
      <c r="Y17" s="133"/>
      <c r="Z17" s="83"/>
      <c r="AA17" s="309"/>
      <c r="AB17" s="89"/>
      <c r="AC17" s="329"/>
      <c r="AD17" s="30"/>
      <c r="AE17" s="30"/>
      <c r="AF17" s="30"/>
      <c r="AG17" s="30"/>
      <c r="AI17" s="30"/>
    </row>
    <row r="18" spans="1:39" x14ac:dyDescent="0.25">
      <c r="A18" s="303"/>
      <c r="B18" s="76"/>
      <c r="C18" s="328"/>
      <c r="D18" s="148"/>
      <c r="E18" s="71"/>
      <c r="F18" s="149"/>
      <c r="G18" s="100"/>
      <c r="H18" s="101"/>
      <c r="I18" s="108"/>
      <c r="J18" s="76"/>
      <c r="K18" s="101"/>
      <c r="L18" s="311"/>
      <c r="M18" s="330"/>
      <c r="N18" s="329"/>
      <c r="O18" s="144"/>
      <c r="P18" s="145"/>
      <c r="Q18" s="118"/>
      <c r="R18" s="83"/>
      <c r="S18" s="118"/>
      <c r="T18" s="85"/>
      <c r="U18" s="108"/>
      <c r="V18" s="85"/>
      <c r="W18" s="308"/>
      <c r="X18" s="83"/>
      <c r="Y18" s="133"/>
      <c r="Z18" s="83"/>
      <c r="AA18" s="309"/>
      <c r="AB18" s="89"/>
      <c r="AC18" s="329"/>
      <c r="AD18" s="30"/>
      <c r="AE18" s="30"/>
      <c r="AF18" s="30"/>
      <c r="AG18" s="30"/>
      <c r="AI18" s="30"/>
    </row>
    <row r="19" spans="1:39" x14ac:dyDescent="0.25">
      <c r="A19" s="303"/>
      <c r="B19" s="76"/>
      <c r="C19" s="328"/>
      <c r="D19" s="148"/>
      <c r="E19" s="71"/>
      <c r="F19" s="149"/>
      <c r="G19" s="100"/>
      <c r="H19" s="101"/>
      <c r="I19" s="108"/>
      <c r="J19" s="76"/>
      <c r="K19" s="101"/>
      <c r="L19" s="311"/>
      <c r="M19" s="330"/>
      <c r="N19" s="329"/>
      <c r="O19" s="144"/>
      <c r="P19" s="145"/>
      <c r="Q19" s="118"/>
      <c r="R19" s="83"/>
      <c r="S19" s="118"/>
      <c r="T19" s="85"/>
      <c r="U19" s="108"/>
      <c r="V19" s="85"/>
      <c r="W19" s="308"/>
      <c r="X19" s="83"/>
      <c r="Y19" s="133"/>
      <c r="Z19" s="83"/>
      <c r="AA19" s="309"/>
      <c r="AB19" s="89"/>
      <c r="AC19" s="329"/>
      <c r="AD19" s="30">
        <v>125</v>
      </c>
      <c r="AE19" s="30"/>
      <c r="AF19" s="30"/>
      <c r="AG19" s="30"/>
      <c r="AI19" s="30"/>
    </row>
    <row r="20" spans="1:39" x14ac:dyDescent="0.25">
      <c r="A20" s="303"/>
      <c r="B20" s="76"/>
      <c r="C20" s="328"/>
      <c r="D20" s="148"/>
      <c r="E20" s="71"/>
      <c r="F20" s="149"/>
      <c r="G20" s="100"/>
      <c r="H20" s="101"/>
      <c r="I20" s="108"/>
      <c r="J20" s="76"/>
      <c r="K20" s="101"/>
      <c r="L20" s="311"/>
      <c r="M20" s="116"/>
      <c r="N20" s="329"/>
      <c r="O20" s="144"/>
      <c r="P20" s="145"/>
      <c r="Q20" s="118"/>
      <c r="R20" s="83"/>
      <c r="S20" s="118"/>
      <c r="T20" s="85"/>
      <c r="U20" s="108"/>
      <c r="V20" s="85"/>
      <c r="W20" s="308"/>
      <c r="X20" s="83"/>
      <c r="Y20" s="133"/>
      <c r="Z20" s="83"/>
      <c r="AA20" s="309"/>
      <c r="AB20" s="89"/>
      <c r="AC20" s="329"/>
      <c r="AD20" s="30">
        <v>150</v>
      </c>
      <c r="AE20" s="30"/>
      <c r="AF20" s="30"/>
      <c r="AG20" s="30"/>
      <c r="AI20" s="30"/>
    </row>
    <row r="21" spans="1:39" ht="15.75" customHeight="1" x14ac:dyDescent="0.25">
      <c r="A21" s="303"/>
      <c r="B21" s="76"/>
      <c r="C21" s="328"/>
      <c r="D21" s="148"/>
      <c r="E21" s="71"/>
      <c r="F21" s="149"/>
      <c r="G21" s="100"/>
      <c r="H21" s="101"/>
      <c r="I21" s="108"/>
      <c r="J21" s="76"/>
      <c r="K21" s="101"/>
      <c r="L21" s="311"/>
      <c r="M21" s="116"/>
      <c r="N21" s="329"/>
      <c r="O21" s="144"/>
      <c r="P21" s="145"/>
      <c r="Q21" s="118"/>
      <c r="R21" s="83"/>
      <c r="S21" s="118"/>
      <c r="T21" s="85"/>
      <c r="U21" s="108"/>
      <c r="V21" s="85"/>
      <c r="W21" s="308"/>
      <c r="X21" s="83"/>
      <c r="Y21" s="133"/>
      <c r="Z21" s="83"/>
      <c r="AA21" s="309"/>
      <c r="AB21" s="89"/>
      <c r="AC21" s="329"/>
      <c r="AD21" s="30"/>
      <c r="AE21" s="30"/>
      <c r="AF21" s="30"/>
      <c r="AG21" s="30"/>
      <c r="AI21" s="30"/>
    </row>
    <row r="22" spans="1:39" ht="15.75" customHeight="1" x14ac:dyDescent="0.25">
      <c r="A22" s="303"/>
      <c r="B22" s="76"/>
      <c r="C22" s="328"/>
      <c r="D22" s="148"/>
      <c r="E22" s="71"/>
      <c r="F22" s="149"/>
      <c r="G22" s="100"/>
      <c r="H22" s="101"/>
      <c r="I22" s="108"/>
      <c r="J22" s="76"/>
      <c r="K22" s="101"/>
      <c r="L22" s="311"/>
      <c r="M22" s="116"/>
      <c r="N22" s="329"/>
      <c r="O22" s="144"/>
      <c r="P22" s="145"/>
      <c r="Q22" s="118"/>
      <c r="R22" s="83"/>
      <c r="S22" s="118"/>
      <c r="T22" s="85"/>
      <c r="U22" s="108"/>
      <c r="V22" s="85"/>
      <c r="W22" s="308"/>
      <c r="X22" s="83"/>
      <c r="Y22" s="133"/>
      <c r="Z22" s="83"/>
      <c r="AA22" s="309"/>
      <c r="AB22" s="89"/>
      <c r="AC22" s="329"/>
      <c r="AD22" s="30"/>
      <c r="AE22" s="30"/>
      <c r="AF22" s="30"/>
      <c r="AG22" s="30"/>
      <c r="AI22" s="30"/>
    </row>
    <row r="23" spans="1:39" ht="15.75" customHeight="1" x14ac:dyDescent="0.25">
      <c r="A23" s="303"/>
      <c r="B23" s="76"/>
      <c r="C23" s="328"/>
      <c r="D23" s="148"/>
      <c r="E23" s="71"/>
      <c r="F23" s="149"/>
      <c r="G23" s="100"/>
      <c r="H23" s="101"/>
      <c r="I23" s="108"/>
      <c r="J23" s="76"/>
      <c r="K23" s="101"/>
      <c r="L23" s="311"/>
      <c r="M23" s="116"/>
      <c r="N23" s="329"/>
      <c r="O23" s="144"/>
      <c r="P23" s="145"/>
      <c r="Q23" s="118"/>
      <c r="R23" s="83"/>
      <c r="S23" s="118"/>
      <c r="T23" s="85"/>
      <c r="U23" s="108"/>
      <c r="V23" s="85"/>
      <c r="W23" s="308"/>
      <c r="X23" s="83"/>
      <c r="Y23" s="133"/>
      <c r="Z23" s="83"/>
      <c r="AA23" s="309"/>
      <c r="AB23" s="89"/>
      <c r="AC23" s="329"/>
      <c r="AD23" s="30"/>
      <c r="AE23" s="30"/>
      <c r="AF23" s="30"/>
      <c r="AG23" s="30"/>
      <c r="AI23" s="30"/>
    </row>
    <row r="24" spans="1:39" ht="15.75" customHeight="1" x14ac:dyDescent="0.25">
      <c r="A24" s="303"/>
      <c r="B24" s="76"/>
      <c r="C24" s="328"/>
      <c r="D24" s="148"/>
      <c r="E24" s="71"/>
      <c r="F24" s="149"/>
      <c r="G24" s="100"/>
      <c r="H24" s="101"/>
      <c r="I24" s="108"/>
      <c r="J24" s="76"/>
      <c r="K24" s="101"/>
      <c r="L24" s="311"/>
      <c r="M24" s="116"/>
      <c r="N24" s="329"/>
      <c r="O24" s="144"/>
      <c r="P24" s="145"/>
      <c r="Q24" s="118"/>
      <c r="R24" s="83"/>
      <c r="S24" s="118"/>
      <c r="T24" s="85"/>
      <c r="U24" s="108"/>
      <c r="V24" s="85"/>
      <c r="W24" s="308"/>
      <c r="X24" s="83"/>
      <c r="Y24" s="133"/>
      <c r="Z24" s="83"/>
      <c r="AA24" s="309"/>
      <c r="AB24" s="89"/>
      <c r="AC24" s="329"/>
      <c r="AD24" s="30"/>
      <c r="AE24" s="30"/>
      <c r="AF24" s="30"/>
      <c r="AG24" s="30"/>
      <c r="AI24" s="30"/>
    </row>
    <row r="25" spans="1:39" ht="15.75" customHeight="1" x14ac:dyDescent="0.25">
      <c r="A25" s="331"/>
      <c r="B25" s="159"/>
      <c r="C25" s="332"/>
      <c r="D25" s="161"/>
      <c r="E25" s="333"/>
      <c r="F25" s="163"/>
      <c r="G25" s="164"/>
      <c r="H25" s="117"/>
      <c r="I25" s="334"/>
      <c r="J25" s="159"/>
      <c r="K25" s="117"/>
      <c r="L25" s="335"/>
      <c r="M25" s="336"/>
      <c r="N25" s="337"/>
      <c r="O25" s="169"/>
      <c r="P25" s="170"/>
      <c r="Q25" s="172"/>
      <c r="R25" s="338"/>
      <c r="S25" s="172"/>
      <c r="T25" s="39"/>
      <c r="U25" s="334"/>
      <c r="V25" s="39"/>
      <c r="W25" s="339"/>
      <c r="X25" s="173"/>
      <c r="Y25" s="340"/>
      <c r="Z25" s="173"/>
      <c r="AA25" s="341"/>
      <c r="AB25" s="176"/>
      <c r="AC25" s="342"/>
      <c r="AD25" s="30"/>
      <c r="AE25" s="30"/>
      <c r="AF25" s="30"/>
      <c r="AG25" s="30"/>
      <c r="AI25" s="30"/>
    </row>
    <row r="26" spans="1:39" ht="15.75" customHeight="1" x14ac:dyDescent="0.25">
      <c r="A26" s="1249" t="s">
        <v>102</v>
      </c>
      <c r="B26" s="1250"/>
      <c r="C26" s="1251"/>
      <c r="D26" s="343" t="s">
        <v>103</v>
      </c>
      <c r="E26" s="343" t="s">
        <v>61</v>
      </c>
      <c r="F26" s="344" t="s">
        <v>103</v>
      </c>
      <c r="G26" s="1252" t="s">
        <v>103</v>
      </c>
      <c r="H26" s="1251"/>
      <c r="I26" s="1252" t="s">
        <v>102</v>
      </c>
      <c r="J26" s="1250"/>
      <c r="K26" s="1251"/>
      <c r="L26" s="1253" t="s">
        <v>102</v>
      </c>
      <c r="M26" s="1250"/>
      <c r="N26" s="1251"/>
      <c r="O26" s="1252" t="s">
        <v>104</v>
      </c>
      <c r="P26" s="1251"/>
      <c r="Q26" s="1252" t="s">
        <v>104</v>
      </c>
      <c r="R26" s="1251"/>
      <c r="S26" s="1252" t="s">
        <v>104</v>
      </c>
      <c r="T26" s="1251"/>
      <c r="U26" s="1252" t="s">
        <v>104</v>
      </c>
      <c r="V26" s="1251"/>
      <c r="W26" s="1254" t="s">
        <v>102</v>
      </c>
      <c r="X26" s="1255"/>
      <c r="Y26" s="1256" t="s">
        <v>102</v>
      </c>
      <c r="Z26" s="1255"/>
      <c r="AA26" s="1240" t="s">
        <v>102</v>
      </c>
      <c r="AB26" s="1241"/>
      <c r="AC26" s="1242"/>
      <c r="AE26" s="30"/>
      <c r="AF26" s="30"/>
      <c r="AG26" s="30"/>
      <c r="AI26" s="30"/>
    </row>
    <row r="27" spans="1:39" ht="15.75" customHeight="1" x14ac:dyDescent="0.25">
      <c r="A27" s="345">
        <f>SUM(A3:A25)</f>
        <v>1718.39</v>
      </c>
      <c r="B27" s="346"/>
      <c r="C27" s="196">
        <f t="shared" ref="C27:D27" si="0">SUM(C3:C25)</f>
        <v>0</v>
      </c>
      <c r="D27" s="197">
        <f t="shared" si="0"/>
        <v>467.6</v>
      </c>
      <c r="E27" s="203">
        <v>0</v>
      </c>
      <c r="F27" s="347">
        <f t="shared" ref="F27:I27" si="1">SUM(F3:F25)</f>
        <v>0</v>
      </c>
      <c r="G27" s="197">
        <f t="shared" si="1"/>
        <v>0</v>
      </c>
      <c r="H27" s="199">
        <f t="shared" si="1"/>
        <v>0</v>
      </c>
      <c r="I27" s="197">
        <f t="shared" si="1"/>
        <v>0</v>
      </c>
      <c r="J27" s="348"/>
      <c r="K27" s="349">
        <f t="shared" ref="K27:L27" si="2">SUM(K3:K25)</f>
        <v>0</v>
      </c>
      <c r="L27" s="350">
        <f t="shared" si="2"/>
        <v>0</v>
      </c>
      <c r="M27" s="424">
        <f>N12+N13</f>
        <v>0</v>
      </c>
      <c r="N27" s="197">
        <f>N3+N4+N5+N6+N7+N8+N9+N10+N11</f>
        <v>377.59</v>
      </c>
      <c r="O27" s="353">
        <f t="shared" ref="O27:P27" si="3">O3</f>
        <v>52.410000000000082</v>
      </c>
      <c r="P27" s="354">
        <f t="shared" si="3"/>
        <v>0</v>
      </c>
      <c r="Q27" s="203">
        <f>SUM(Q3:Q25)</f>
        <v>170</v>
      </c>
      <c r="R27" s="355"/>
      <c r="S27" s="203">
        <f>SUM(S3:S25)</f>
        <v>20</v>
      </c>
      <c r="T27" s="356"/>
      <c r="U27" s="357">
        <f>SUM(U3:U25)</f>
        <v>345</v>
      </c>
      <c r="V27" s="356"/>
      <c r="W27" s="1247">
        <f>SUM(W3:W25)</f>
        <v>0</v>
      </c>
      <c r="X27" s="1248"/>
      <c r="Y27" s="1247">
        <f>SUM(Y3:Y25)</f>
        <v>0</v>
      </c>
      <c r="Z27" s="1248"/>
      <c r="AA27" s="358">
        <f>SUM(AA3:AA25)</f>
        <v>0</v>
      </c>
      <c r="AB27" s="359"/>
      <c r="AC27" s="360">
        <f>SUM(AC3:AC25)</f>
        <v>1000</v>
      </c>
      <c r="AE27" s="30"/>
      <c r="AF27" s="30"/>
      <c r="AG27" s="30"/>
      <c r="AI27" s="30"/>
    </row>
    <row r="28" spans="1:39" ht="15.75" customHeight="1" x14ac:dyDescent="0.25">
      <c r="M28" t="s">
        <v>207</v>
      </c>
      <c r="N28" t="s">
        <v>208</v>
      </c>
      <c r="Q28" s="547">
        <f>SUM(Q15:Q25)</f>
        <v>0</v>
      </c>
      <c r="S28" s="547">
        <f>SUM(S10:S25)</f>
        <v>0</v>
      </c>
      <c r="V28" s="356"/>
      <c r="AE28" s="30"/>
      <c r="AF28" s="30"/>
      <c r="AG28" s="30"/>
      <c r="AI28" s="30"/>
    </row>
    <row r="29" spans="1:39" ht="15.75" customHeight="1" x14ac:dyDescent="0.25">
      <c r="AE29" s="30"/>
      <c r="AF29" s="30"/>
      <c r="AG29" s="30"/>
      <c r="AI29" s="30"/>
    </row>
    <row r="30" spans="1:39" ht="15.75" customHeight="1" x14ac:dyDescent="0.25">
      <c r="E30" s="30"/>
      <c r="F30" s="30"/>
      <c r="G30" s="30"/>
      <c r="M30" s="30"/>
      <c r="P30" s="30"/>
      <c r="R30" s="30"/>
      <c r="T30" s="30"/>
      <c r="U30" s="30"/>
      <c r="AF30" s="30"/>
      <c r="AG30" s="30"/>
      <c r="AI30" s="30"/>
      <c r="AJ30" s="30"/>
      <c r="AK30" s="30"/>
      <c r="AM30" s="30"/>
    </row>
    <row r="31" spans="1:39" ht="15.75" customHeight="1" x14ac:dyDescent="0.25">
      <c r="E31" s="30"/>
      <c r="F31" s="30"/>
      <c r="G31" s="30"/>
      <c r="J31" s="30"/>
      <c r="K31" s="30"/>
      <c r="L31" s="30"/>
      <c r="M31" s="30"/>
      <c r="P31" s="30"/>
      <c r="R31" s="30"/>
      <c r="T31" s="30"/>
      <c r="U31" s="361"/>
      <c r="AF31" s="30"/>
      <c r="AG31" s="30"/>
      <c r="AI31" s="30"/>
      <c r="AJ31" s="30"/>
      <c r="AK31" s="30"/>
      <c r="AM31" s="30"/>
    </row>
    <row r="32" spans="1:39" ht="15.75" customHeight="1" x14ac:dyDescent="0.25">
      <c r="E32" s="30"/>
      <c r="F32" s="30"/>
      <c r="G32" s="30"/>
      <c r="J32" s="30"/>
      <c r="K32" s="30"/>
      <c r="L32" s="30"/>
      <c r="M32" s="30"/>
      <c r="P32" s="30"/>
      <c r="R32" s="30"/>
      <c r="T32" s="30"/>
      <c r="U32" s="30"/>
      <c r="AF32" s="30"/>
      <c r="AG32" s="30"/>
      <c r="AI32" s="30"/>
      <c r="AJ32" s="30"/>
      <c r="AK32" s="30"/>
      <c r="AM32" s="30"/>
    </row>
    <row r="33" spans="5:39" ht="15.75" customHeight="1" x14ac:dyDescent="0.25">
      <c r="E33" s="30"/>
      <c r="F33" s="30"/>
      <c r="G33" s="30"/>
      <c r="J33" s="30"/>
      <c r="K33" s="30"/>
      <c r="L33" s="30"/>
      <c r="M33" s="30"/>
      <c r="P33" s="30"/>
      <c r="Q33" s="30"/>
      <c r="R33" s="30"/>
      <c r="T33" s="30"/>
      <c r="U33" s="30"/>
      <c r="AF33" s="30"/>
      <c r="AG33" s="30"/>
      <c r="AI33" s="30"/>
      <c r="AJ33" s="30"/>
      <c r="AK33" s="30"/>
      <c r="AM33" s="30"/>
    </row>
    <row r="34" spans="5:39" ht="15.75" customHeight="1" x14ac:dyDescent="0.25">
      <c r="E34" s="30"/>
      <c r="F34" s="30"/>
      <c r="G34" s="30"/>
      <c r="J34" s="30"/>
      <c r="K34" s="30"/>
      <c r="L34" s="30"/>
      <c r="M34" s="30"/>
      <c r="P34" s="30"/>
      <c r="Q34" s="30"/>
      <c r="R34" s="30"/>
      <c r="T34" s="30"/>
      <c r="U34" s="30"/>
      <c r="AF34" s="30"/>
      <c r="AG34" s="30"/>
      <c r="AI34" s="30"/>
      <c r="AJ34" s="30"/>
      <c r="AK34" s="30"/>
      <c r="AM34" s="30"/>
    </row>
    <row r="35" spans="5:39" ht="15.75" customHeight="1" x14ac:dyDescent="0.25">
      <c r="E35" s="30"/>
      <c r="F35" s="30"/>
      <c r="G35" s="30"/>
      <c r="J35" s="30"/>
      <c r="K35" s="30"/>
      <c r="L35" s="30"/>
      <c r="M35" s="30"/>
      <c r="P35" s="30"/>
      <c r="Q35" s="30"/>
      <c r="R35" s="30"/>
      <c r="T35" s="30"/>
      <c r="U35" s="30"/>
      <c r="AF35" s="30"/>
      <c r="AG35" s="30"/>
      <c r="AI35" s="30"/>
      <c r="AJ35" s="30"/>
      <c r="AK35" s="30"/>
      <c r="AM35" s="30"/>
    </row>
    <row r="36" spans="5:39" ht="15.75" customHeight="1" x14ac:dyDescent="0.25">
      <c r="Q36" s="30"/>
    </row>
    <row r="37" spans="5:39" ht="15.75" customHeight="1" x14ac:dyDescent="0.25">
      <c r="Q37" s="30"/>
    </row>
    <row r="38" spans="5:39" ht="15.75" customHeight="1" x14ac:dyDescent="0.25"/>
    <row r="39" spans="5:39" ht="15.75" customHeight="1" x14ac:dyDescent="0.25"/>
    <row r="40" spans="5:39" ht="15.75" customHeight="1" x14ac:dyDescent="0.25"/>
    <row r="41" spans="5:39" ht="15.75" customHeight="1" x14ac:dyDescent="0.25"/>
    <row r="42" spans="5:39" ht="15.75" customHeight="1" x14ac:dyDescent="0.25"/>
    <row r="43" spans="5:39" ht="15.75" customHeight="1" x14ac:dyDescent="0.25"/>
    <row r="44" spans="5:39" ht="15.75" customHeight="1" x14ac:dyDescent="0.25"/>
    <row r="45" spans="5:39" ht="15.75" customHeight="1" x14ac:dyDescent="0.25"/>
    <row r="46" spans="5:39" ht="15.75" customHeight="1" x14ac:dyDescent="0.25"/>
    <row r="47" spans="5:39" ht="15.75" customHeight="1" x14ac:dyDescent="0.25"/>
    <row r="48" spans="5:3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27">
    <mergeCell ref="O4:P4"/>
    <mergeCell ref="W26:X26"/>
    <mergeCell ref="Y26:Z26"/>
    <mergeCell ref="AA26:AC26"/>
    <mergeCell ref="AD9:AE9"/>
    <mergeCell ref="AD4:AE4"/>
    <mergeCell ref="O26:P26"/>
    <mergeCell ref="Q26:R26"/>
    <mergeCell ref="S26:T26"/>
    <mergeCell ref="U26:V26"/>
    <mergeCell ref="W27:X27"/>
    <mergeCell ref="Y27:Z27"/>
    <mergeCell ref="O5:P5"/>
    <mergeCell ref="A26:C26"/>
    <mergeCell ref="G26:H26"/>
    <mergeCell ref="I26:K26"/>
    <mergeCell ref="L26:N26"/>
    <mergeCell ref="AA1:AC1"/>
    <mergeCell ref="AD1:AE1"/>
    <mergeCell ref="AF1:AG1"/>
    <mergeCell ref="Q1:Z1"/>
    <mergeCell ref="AF4:AG4"/>
    <mergeCell ref="A1:F1"/>
    <mergeCell ref="G1:H1"/>
    <mergeCell ref="I1:K1"/>
    <mergeCell ref="L1:N1"/>
    <mergeCell ref="O1:P1"/>
  </mergeCells>
  <pageMargins left="0.7" right="0.7" top="0.75" bottom="0.75" header="0" footer="0"/>
  <pageSetup orientation="landscape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191919"/>
  </sheetPr>
  <dimension ref="A1:AP102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" customHeight="1" x14ac:dyDescent="0.25"/>
  <cols>
    <col min="1" max="1" width="9.42578125" customWidth="1"/>
    <col min="2" max="2" width="8.85546875" customWidth="1"/>
    <col min="3" max="3" width="9.28515625" customWidth="1"/>
    <col min="4" max="4" width="10" customWidth="1"/>
    <col min="5" max="5" width="8.28515625" customWidth="1"/>
    <col min="6" max="8" width="8" customWidth="1"/>
    <col min="9" max="9" width="8.28515625" customWidth="1"/>
    <col min="10" max="10" width="8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10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9.7109375" customWidth="1"/>
    <col min="21" max="21" width="8.28515625" customWidth="1"/>
    <col min="22" max="22" width="8" customWidth="1"/>
    <col min="23" max="25" width="8.28515625" customWidth="1"/>
    <col min="26" max="26" width="8" customWidth="1"/>
    <col min="27" max="27" width="8.28515625" customWidth="1"/>
    <col min="28" max="28" width="8" customWidth="1"/>
    <col min="29" max="29" width="9.28515625" customWidth="1"/>
    <col min="30" max="30" width="12.85546875" customWidth="1"/>
    <col min="31" max="31" width="12.7109375" customWidth="1"/>
    <col min="32" max="32" width="9.140625" customWidth="1"/>
    <col min="33" max="33" width="10.28515625" customWidth="1"/>
    <col min="34" max="34" width="14.28515625" customWidth="1"/>
    <col min="35" max="35" width="9.42578125" customWidth="1"/>
    <col min="36" max="36" width="12.42578125" customWidth="1"/>
    <col min="37" max="37" width="8.5703125" customWidth="1"/>
    <col min="38" max="38" width="11.28515625" customWidth="1"/>
    <col min="39" max="42" width="9.140625" customWidth="1"/>
  </cols>
  <sheetData>
    <row r="1" spans="1:42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33"/>
      <c r="Y1" s="1233"/>
      <c r="Z1" s="1220"/>
      <c r="AA1" s="1232" t="s">
        <v>43</v>
      </c>
      <c r="AB1" s="1233"/>
      <c r="AC1" s="1234"/>
      <c r="AD1" s="1219" t="s">
        <v>44</v>
      </c>
      <c r="AE1" s="1220"/>
      <c r="AF1" s="1243" t="s">
        <v>45</v>
      </c>
      <c r="AG1" s="1234"/>
      <c r="AH1" s="43"/>
      <c r="AI1" s="43"/>
      <c r="AJ1" s="44"/>
      <c r="AK1" s="44"/>
      <c r="AL1" s="44"/>
      <c r="AM1" s="44"/>
      <c r="AN1" s="43"/>
      <c r="AO1" s="43"/>
      <c r="AP1" s="43"/>
    </row>
    <row r="2" spans="1:42" ht="15.75" x14ac:dyDescent="0.25">
      <c r="A2" s="48" t="s">
        <v>46</v>
      </c>
      <c r="B2" s="276" t="s">
        <v>47</v>
      </c>
      <c r="C2" s="277" t="s">
        <v>48</v>
      </c>
      <c r="D2" s="48" t="s">
        <v>46</v>
      </c>
      <c r="E2" s="49" t="s">
        <v>47</v>
      </c>
      <c r="F2" s="276" t="s">
        <v>49</v>
      </c>
      <c r="G2" s="278" t="s">
        <v>49</v>
      </c>
      <c r="H2" s="279" t="s">
        <v>46</v>
      </c>
      <c r="I2" s="280" t="s">
        <v>49</v>
      </c>
      <c r="J2" s="281" t="s">
        <v>47</v>
      </c>
      <c r="K2" s="276" t="s">
        <v>46</v>
      </c>
      <c r="L2" s="280" t="s">
        <v>50</v>
      </c>
      <c r="M2" s="282" t="s">
        <v>51</v>
      </c>
      <c r="N2" s="276" t="s">
        <v>52</v>
      </c>
      <c r="O2" s="280" t="s">
        <v>53</v>
      </c>
      <c r="P2" s="277" t="s">
        <v>50</v>
      </c>
      <c r="Q2" s="283" t="s">
        <v>54</v>
      </c>
      <c r="R2" s="276" t="s">
        <v>47</v>
      </c>
      <c r="S2" s="283" t="s">
        <v>55</v>
      </c>
      <c r="T2" s="276" t="s">
        <v>47</v>
      </c>
      <c r="U2" s="283" t="s">
        <v>148</v>
      </c>
      <c r="V2" s="276" t="s">
        <v>47</v>
      </c>
      <c r="W2" s="45" t="s">
        <v>57</v>
      </c>
      <c r="X2" s="284" t="s">
        <v>47</v>
      </c>
      <c r="Y2" s="285" t="s">
        <v>201</v>
      </c>
      <c r="Z2" s="276" t="s">
        <v>47</v>
      </c>
      <c r="AA2" s="283" t="s">
        <v>50</v>
      </c>
      <c r="AB2" s="49" t="s">
        <v>13</v>
      </c>
      <c r="AC2" s="276" t="s">
        <v>52</v>
      </c>
      <c r="AD2" s="286" t="s">
        <v>50</v>
      </c>
      <c r="AE2" s="287" t="s">
        <v>52</v>
      </c>
      <c r="AF2" s="286" t="s">
        <v>50</v>
      </c>
      <c r="AG2" s="288" t="s">
        <v>52</v>
      </c>
      <c r="AJ2" s="30"/>
      <c r="AK2" s="30"/>
      <c r="AL2" s="30"/>
      <c r="AM2" s="30"/>
    </row>
    <row r="3" spans="1:42" x14ac:dyDescent="0.25">
      <c r="A3" s="449">
        <v>2540</v>
      </c>
      <c r="B3" s="450">
        <v>44010</v>
      </c>
      <c r="C3" s="451"/>
      <c r="D3" s="452">
        <v>100.73</v>
      </c>
      <c r="E3" s="154">
        <v>44011</v>
      </c>
      <c r="F3" s="453"/>
      <c r="G3" s="454">
        <v>1.1000000000000001</v>
      </c>
      <c r="H3" s="455">
        <v>23.8</v>
      </c>
      <c r="I3" s="456">
        <v>120</v>
      </c>
      <c r="J3" s="457">
        <v>44043</v>
      </c>
      <c r="K3" s="458"/>
      <c r="L3" s="459"/>
      <c r="M3" s="460" t="s">
        <v>202</v>
      </c>
      <c r="N3" s="461">
        <v>5.99</v>
      </c>
      <c r="O3" s="462">
        <f>AC27-AG6-AE3</f>
        <v>865.06</v>
      </c>
      <c r="P3" s="463">
        <v>0</v>
      </c>
      <c r="Q3" s="464">
        <v>50</v>
      </c>
      <c r="R3" s="465">
        <v>44011</v>
      </c>
      <c r="S3" s="466">
        <v>100</v>
      </c>
      <c r="T3" s="467"/>
      <c r="U3" s="468">
        <v>50</v>
      </c>
      <c r="V3" s="469">
        <v>44011</v>
      </c>
      <c r="W3" s="470"/>
      <c r="X3" s="471"/>
      <c r="Y3" s="464"/>
      <c r="Z3" s="465"/>
      <c r="AA3" s="472"/>
      <c r="AB3" s="473" t="s">
        <v>60</v>
      </c>
      <c r="AC3" s="298">
        <v>125</v>
      </c>
      <c r="AD3" s="299">
        <v>0</v>
      </c>
      <c r="AE3" s="300">
        <v>35</v>
      </c>
      <c r="AF3" s="301">
        <f>AD6+AF6</f>
        <v>8662.89</v>
      </c>
      <c r="AG3" s="302">
        <f>AG6+AE6</f>
        <v>4804.59</v>
      </c>
      <c r="AJ3" s="30"/>
      <c r="AK3" s="30"/>
      <c r="AL3" s="30"/>
    </row>
    <row r="4" spans="1:42" ht="18.75" x14ac:dyDescent="0.25">
      <c r="A4" s="491">
        <v>1965.6</v>
      </c>
      <c r="B4" s="450">
        <v>44034</v>
      </c>
      <c r="C4" s="475"/>
      <c r="D4" s="153">
        <v>109</v>
      </c>
      <c r="E4" s="154">
        <v>44020</v>
      </c>
      <c r="F4" s="476"/>
      <c r="G4" s="477">
        <v>2.9</v>
      </c>
      <c r="H4" s="478">
        <v>23.8</v>
      </c>
      <c r="I4" s="479"/>
      <c r="J4" s="457">
        <v>44044</v>
      </c>
      <c r="K4" s="480">
        <v>951.3</v>
      </c>
      <c r="L4" s="481"/>
      <c r="M4" s="482" t="s">
        <v>203</v>
      </c>
      <c r="N4" s="430">
        <v>36.799999999999997</v>
      </c>
      <c r="O4" s="483" t="s">
        <v>61</v>
      </c>
      <c r="P4" s="484"/>
      <c r="Q4" s="485">
        <v>50</v>
      </c>
      <c r="R4" s="465"/>
      <c r="S4" s="486">
        <v>20</v>
      </c>
      <c r="T4" s="467"/>
      <c r="U4" s="487">
        <v>100</v>
      </c>
      <c r="V4" s="469">
        <v>44018</v>
      </c>
      <c r="W4" s="488"/>
      <c r="X4" s="489"/>
      <c r="Y4" s="464"/>
      <c r="Z4" s="465"/>
      <c r="AA4" s="490"/>
      <c r="AB4" s="473">
        <v>44012</v>
      </c>
      <c r="AC4" s="549">
        <v>500</v>
      </c>
      <c r="AD4" s="1238" t="s">
        <v>63</v>
      </c>
      <c r="AE4" s="1245"/>
      <c r="AF4" s="1246" t="s">
        <v>64</v>
      </c>
      <c r="AG4" s="1237"/>
      <c r="AJ4" s="30"/>
      <c r="AK4" s="112"/>
      <c r="AL4" s="30"/>
    </row>
    <row r="5" spans="1:42" ht="15.75" x14ac:dyDescent="0.25">
      <c r="A5" s="491">
        <v>2438.9</v>
      </c>
      <c r="B5" s="450">
        <v>44051</v>
      </c>
      <c r="C5" s="475"/>
      <c r="D5" s="153"/>
      <c r="E5" s="154">
        <v>44025</v>
      </c>
      <c r="F5" s="476">
        <v>102</v>
      </c>
      <c r="G5" s="477"/>
      <c r="H5" s="478">
        <v>4.5999999999999996</v>
      </c>
      <c r="I5" s="479">
        <v>6.65</v>
      </c>
      <c r="J5" s="457">
        <v>44044</v>
      </c>
      <c r="K5" s="480"/>
      <c r="L5" s="492"/>
      <c r="M5" s="493" t="s">
        <v>204</v>
      </c>
      <c r="N5" s="430">
        <v>29.7</v>
      </c>
      <c r="O5" s="494">
        <f>AD9</f>
        <v>150</v>
      </c>
      <c r="P5" s="495"/>
      <c r="Q5" s="485">
        <v>50</v>
      </c>
      <c r="R5" s="465"/>
      <c r="S5" s="486">
        <v>4</v>
      </c>
      <c r="T5" s="467"/>
      <c r="U5" s="487">
        <v>50</v>
      </c>
      <c r="V5" s="469"/>
      <c r="W5" s="488"/>
      <c r="X5" s="489"/>
      <c r="Y5" s="464"/>
      <c r="Z5" s="465"/>
      <c r="AA5" s="490"/>
      <c r="AB5" s="473">
        <v>44024</v>
      </c>
      <c r="AC5" s="549">
        <v>500</v>
      </c>
      <c r="AD5" s="119" t="s">
        <v>50</v>
      </c>
      <c r="AE5" s="313" t="s">
        <v>52</v>
      </c>
      <c r="AF5" s="121" t="s">
        <v>50</v>
      </c>
      <c r="AG5" s="122" t="s">
        <v>52</v>
      </c>
      <c r="AJ5" s="30"/>
      <c r="AK5" s="112"/>
      <c r="AL5" s="30"/>
    </row>
    <row r="6" spans="1:42" x14ac:dyDescent="0.25">
      <c r="A6" s="491">
        <v>1718.39</v>
      </c>
      <c r="B6" s="450">
        <v>44054</v>
      </c>
      <c r="C6" s="475"/>
      <c r="D6" s="153">
        <v>103.01</v>
      </c>
      <c r="E6" s="154">
        <v>44030</v>
      </c>
      <c r="F6" s="476"/>
      <c r="G6" s="477"/>
      <c r="H6" s="478">
        <v>2.2999999999999998</v>
      </c>
      <c r="I6" s="479"/>
      <c r="J6" s="457"/>
      <c r="K6" s="480"/>
      <c r="L6" s="492"/>
      <c r="M6" s="429" t="s">
        <v>213</v>
      </c>
      <c r="N6" s="430">
        <v>51</v>
      </c>
      <c r="O6" s="497"/>
      <c r="P6" s="484"/>
      <c r="Q6" s="485">
        <v>20</v>
      </c>
      <c r="R6" s="465"/>
      <c r="S6" s="486">
        <v>1</v>
      </c>
      <c r="T6" s="467"/>
      <c r="U6" s="487">
        <v>10</v>
      </c>
      <c r="V6" s="469"/>
      <c r="W6" s="488"/>
      <c r="X6" s="489"/>
      <c r="Y6" s="464"/>
      <c r="Z6" s="465"/>
      <c r="AA6" s="490"/>
      <c r="AB6" s="473">
        <v>44030</v>
      </c>
      <c r="AC6" s="549">
        <v>500</v>
      </c>
      <c r="AD6" s="316">
        <f>A27+L27</f>
        <v>8662.89</v>
      </c>
      <c r="AE6" s="317">
        <f>D27+H27+K27+M27</f>
        <v>2479.65</v>
      </c>
      <c r="AF6" s="128">
        <f>L27+C27</f>
        <v>0</v>
      </c>
      <c r="AG6" s="129">
        <f>F27+G27+I27+N27+Q27+S27+U27+W27+Y27</f>
        <v>2324.94</v>
      </c>
      <c r="AJ6" s="30"/>
      <c r="AK6" s="112"/>
      <c r="AL6" s="30"/>
    </row>
    <row r="7" spans="1:42" ht="18.75" x14ac:dyDescent="0.25">
      <c r="A7" s="491"/>
      <c r="B7" s="450"/>
      <c r="C7" s="475"/>
      <c r="D7" s="153">
        <v>99</v>
      </c>
      <c r="E7" s="154">
        <v>44033</v>
      </c>
      <c r="F7" s="476"/>
      <c r="G7" s="477"/>
      <c r="H7" s="478">
        <v>4.5999999999999996</v>
      </c>
      <c r="I7" s="498"/>
      <c r="J7" s="457"/>
      <c r="K7" s="480"/>
      <c r="L7" s="492"/>
      <c r="M7" s="429" t="s">
        <v>215</v>
      </c>
      <c r="N7" s="430">
        <v>30.45</v>
      </c>
      <c r="O7" s="499"/>
      <c r="P7" s="500"/>
      <c r="Q7" s="485">
        <v>4</v>
      </c>
      <c r="R7" s="465"/>
      <c r="S7" s="486">
        <v>100</v>
      </c>
      <c r="T7" s="467"/>
      <c r="U7" s="487">
        <v>10</v>
      </c>
      <c r="V7" s="469"/>
      <c r="W7" s="488"/>
      <c r="X7" s="489"/>
      <c r="Y7" s="464"/>
      <c r="Z7" s="465"/>
      <c r="AA7" s="490"/>
      <c r="AB7" s="473">
        <v>44043</v>
      </c>
      <c r="AC7" s="549">
        <v>300</v>
      </c>
      <c r="AD7" s="320" t="s">
        <v>66</v>
      </c>
      <c r="AE7" s="321" t="s">
        <v>67</v>
      </c>
      <c r="AJ7" s="30"/>
      <c r="AK7" s="30"/>
      <c r="AL7" s="30"/>
    </row>
    <row r="8" spans="1:42" x14ac:dyDescent="0.25">
      <c r="A8" s="491"/>
      <c r="B8" s="450"/>
      <c r="C8" s="475"/>
      <c r="D8" s="153">
        <v>111.01</v>
      </c>
      <c r="E8" s="154">
        <v>44034</v>
      </c>
      <c r="F8" s="476"/>
      <c r="G8" s="477"/>
      <c r="H8" s="478">
        <v>29.5</v>
      </c>
      <c r="I8" s="498"/>
      <c r="J8" s="457"/>
      <c r="K8" s="480"/>
      <c r="L8" s="492"/>
      <c r="M8" s="429" t="s">
        <v>216</v>
      </c>
      <c r="N8" s="430">
        <v>7.25</v>
      </c>
      <c r="O8" s="501"/>
      <c r="P8" s="502"/>
      <c r="Q8" s="485">
        <v>100</v>
      </c>
      <c r="R8" s="465"/>
      <c r="S8" s="486">
        <v>5</v>
      </c>
      <c r="T8" s="467" t="s">
        <v>205</v>
      </c>
      <c r="U8" s="503">
        <v>30</v>
      </c>
      <c r="V8" s="504">
        <v>44030</v>
      </c>
      <c r="W8" s="505"/>
      <c r="X8" s="506"/>
      <c r="Y8" s="507"/>
      <c r="Z8" s="465"/>
      <c r="AA8" s="490"/>
      <c r="AB8" s="473">
        <v>44049</v>
      </c>
      <c r="AC8" s="549">
        <v>300</v>
      </c>
      <c r="AD8" s="326">
        <v>150</v>
      </c>
      <c r="AE8" s="327">
        <v>0</v>
      </c>
      <c r="AJ8" s="30"/>
      <c r="AK8" s="30"/>
      <c r="AL8" s="30"/>
    </row>
    <row r="9" spans="1:42" x14ac:dyDescent="0.25">
      <c r="A9" s="491"/>
      <c r="B9" s="450"/>
      <c r="C9" s="475"/>
      <c r="D9" s="153">
        <v>104.04</v>
      </c>
      <c r="E9" s="154">
        <v>44039</v>
      </c>
      <c r="F9" s="476"/>
      <c r="G9" s="477"/>
      <c r="H9" s="508">
        <v>29.5</v>
      </c>
      <c r="I9" s="498"/>
      <c r="J9" s="457"/>
      <c r="K9" s="480"/>
      <c r="L9" s="492"/>
      <c r="M9" s="429" t="s">
        <v>217</v>
      </c>
      <c r="N9" s="430">
        <v>52.25</v>
      </c>
      <c r="O9" s="499"/>
      <c r="P9" s="500"/>
      <c r="Q9" s="485">
        <v>10</v>
      </c>
      <c r="R9" s="465"/>
      <c r="S9" s="486">
        <v>100</v>
      </c>
      <c r="T9" s="467">
        <v>44047</v>
      </c>
      <c r="U9" s="487">
        <v>40</v>
      </c>
      <c r="V9" s="469">
        <v>44055</v>
      </c>
      <c r="W9" s="488"/>
      <c r="X9" s="489"/>
      <c r="Y9" s="464"/>
      <c r="Z9" s="465"/>
      <c r="AA9" s="490"/>
      <c r="AB9" s="473">
        <v>44058</v>
      </c>
      <c r="AC9" s="549">
        <v>500</v>
      </c>
      <c r="AD9" s="1244">
        <f>AD8-AE8</f>
        <v>150</v>
      </c>
      <c r="AE9" s="1222"/>
      <c r="AJ9" s="30"/>
      <c r="AK9" s="30"/>
      <c r="AL9" s="146"/>
    </row>
    <row r="10" spans="1:42" x14ac:dyDescent="0.25">
      <c r="A10" s="491"/>
      <c r="B10" s="450"/>
      <c r="C10" s="475"/>
      <c r="D10" s="153">
        <v>98.22</v>
      </c>
      <c r="E10" s="154">
        <v>44047</v>
      </c>
      <c r="F10" s="476"/>
      <c r="G10" s="477"/>
      <c r="H10" s="478">
        <v>18.399999999999999</v>
      </c>
      <c r="I10" s="498"/>
      <c r="J10" s="457"/>
      <c r="K10" s="480"/>
      <c r="L10" s="492"/>
      <c r="M10" s="429" t="s">
        <v>218</v>
      </c>
      <c r="N10" s="430">
        <v>22.43</v>
      </c>
      <c r="O10" s="499"/>
      <c r="P10" s="500"/>
      <c r="Q10" s="485">
        <v>20</v>
      </c>
      <c r="R10" s="465"/>
      <c r="S10" s="486">
        <v>10</v>
      </c>
      <c r="T10" s="467" t="s">
        <v>222</v>
      </c>
      <c r="U10" s="487">
        <v>20</v>
      </c>
      <c r="V10" s="469">
        <v>44057</v>
      </c>
      <c r="W10" s="488"/>
      <c r="X10" s="489"/>
      <c r="Y10" s="464"/>
      <c r="Z10" s="465"/>
      <c r="AA10" s="490"/>
      <c r="AB10" s="473">
        <v>44062</v>
      </c>
      <c r="AC10" s="310">
        <v>500</v>
      </c>
      <c r="AJ10" s="30"/>
      <c r="AK10" s="30"/>
      <c r="AL10" s="30"/>
    </row>
    <row r="11" spans="1:42" x14ac:dyDescent="0.25">
      <c r="A11" s="491"/>
      <c r="B11" s="450"/>
      <c r="C11" s="475"/>
      <c r="D11" s="153">
        <v>95.95</v>
      </c>
      <c r="E11" s="154">
        <v>44051</v>
      </c>
      <c r="F11" s="476"/>
      <c r="G11" s="477"/>
      <c r="H11" s="478">
        <v>19.5</v>
      </c>
      <c r="I11" s="498"/>
      <c r="J11" s="457"/>
      <c r="K11" s="480"/>
      <c r="L11" s="492"/>
      <c r="M11" s="429" t="s">
        <v>219</v>
      </c>
      <c r="N11" s="430">
        <v>111.32</v>
      </c>
      <c r="O11" s="499"/>
      <c r="P11" s="500"/>
      <c r="Q11" s="485">
        <v>40</v>
      </c>
      <c r="R11" s="465">
        <v>44030</v>
      </c>
      <c r="S11" s="486">
        <v>10</v>
      </c>
      <c r="T11" s="467">
        <v>44071</v>
      </c>
      <c r="U11" s="487">
        <v>40</v>
      </c>
      <c r="V11" s="469">
        <v>44058</v>
      </c>
      <c r="W11" s="488"/>
      <c r="X11" s="489"/>
      <c r="Y11" s="464"/>
      <c r="Z11" s="465"/>
      <c r="AA11" s="490"/>
      <c r="AB11" s="473"/>
      <c r="AC11" s="310"/>
      <c r="AJ11" s="30"/>
      <c r="AK11" s="30"/>
      <c r="AL11" s="30"/>
    </row>
    <row r="12" spans="1:42" x14ac:dyDescent="0.25">
      <c r="A12" s="491"/>
      <c r="B12" s="450"/>
      <c r="C12" s="475"/>
      <c r="D12" s="153">
        <v>111.01</v>
      </c>
      <c r="E12" s="154">
        <v>44055</v>
      </c>
      <c r="F12" s="476"/>
      <c r="G12" s="477"/>
      <c r="H12" s="478">
        <v>18.399999999999999</v>
      </c>
      <c r="I12" s="498"/>
      <c r="J12" s="457"/>
      <c r="K12" s="480"/>
      <c r="L12" s="492"/>
      <c r="M12" s="429" t="s">
        <v>220</v>
      </c>
      <c r="N12" s="430">
        <v>38.25</v>
      </c>
      <c r="O12" s="499"/>
      <c r="P12" s="500"/>
      <c r="Q12" s="485">
        <v>10</v>
      </c>
      <c r="R12" s="465"/>
      <c r="S12" s="486"/>
      <c r="T12" s="467"/>
      <c r="U12" s="487"/>
      <c r="V12" s="469" t="s">
        <v>214</v>
      </c>
      <c r="W12" s="488"/>
      <c r="X12" s="489"/>
      <c r="Y12" s="464"/>
      <c r="Z12" s="465"/>
      <c r="AA12" s="490"/>
      <c r="AB12" s="473"/>
      <c r="AC12" s="310"/>
      <c r="AJ12" s="30"/>
      <c r="AK12" s="30"/>
      <c r="AL12" s="30"/>
    </row>
    <row r="13" spans="1:42" x14ac:dyDescent="0.25">
      <c r="A13" s="491"/>
      <c r="B13" s="450"/>
      <c r="C13" s="475"/>
      <c r="D13" s="153">
        <v>103.4</v>
      </c>
      <c r="E13" s="154">
        <v>44064</v>
      </c>
      <c r="F13" s="476"/>
      <c r="G13" s="477"/>
      <c r="H13" s="478">
        <v>2.9</v>
      </c>
      <c r="I13" s="498"/>
      <c r="J13" s="457"/>
      <c r="K13" s="480"/>
      <c r="L13" s="492"/>
      <c r="M13" s="429" t="s">
        <v>221</v>
      </c>
      <c r="N13" s="430">
        <v>64.64</v>
      </c>
      <c r="O13" s="499"/>
      <c r="P13" s="500"/>
      <c r="Q13" s="485">
        <v>16</v>
      </c>
      <c r="R13" s="465" t="s">
        <v>206</v>
      </c>
      <c r="S13" s="486"/>
      <c r="T13" s="467"/>
      <c r="U13" s="487">
        <v>20</v>
      </c>
      <c r="V13" s="469">
        <v>44060</v>
      </c>
      <c r="W13" s="488"/>
      <c r="X13" s="489"/>
      <c r="Y13" s="464"/>
      <c r="Z13" s="465"/>
      <c r="AA13" s="490"/>
      <c r="AB13" s="473"/>
      <c r="AC13" s="310"/>
      <c r="AD13" s="30"/>
      <c r="AE13" s="30"/>
      <c r="AF13" s="30"/>
      <c r="AG13" s="30"/>
      <c r="AI13" s="30"/>
      <c r="AJ13" s="30"/>
      <c r="AK13" s="30"/>
      <c r="AL13" s="30"/>
    </row>
    <row r="14" spans="1:42" x14ac:dyDescent="0.25">
      <c r="A14" s="491"/>
      <c r="B14" s="450"/>
      <c r="C14" s="475"/>
      <c r="D14" s="509">
        <v>95.01</v>
      </c>
      <c r="E14" s="154">
        <v>44070</v>
      </c>
      <c r="F14" s="476"/>
      <c r="G14" s="477"/>
      <c r="H14" s="478">
        <v>5.3</v>
      </c>
      <c r="I14" s="498"/>
      <c r="J14" s="457"/>
      <c r="K14" s="480"/>
      <c r="L14" s="492"/>
      <c r="M14" s="429"/>
      <c r="N14" s="430"/>
      <c r="O14" s="499"/>
      <c r="P14" s="500"/>
      <c r="Q14" s="485">
        <v>100</v>
      </c>
      <c r="R14" s="465">
        <v>44039</v>
      </c>
      <c r="S14" s="486"/>
      <c r="T14" s="467"/>
      <c r="U14" s="487">
        <v>70</v>
      </c>
      <c r="V14" s="469">
        <v>44061</v>
      </c>
      <c r="W14" s="488"/>
      <c r="X14" s="489"/>
      <c r="Y14" s="464"/>
      <c r="Z14" s="465"/>
      <c r="AA14" s="490"/>
      <c r="AB14" s="473"/>
      <c r="AC14" s="310"/>
      <c r="AD14" s="30"/>
      <c r="AE14" s="30"/>
      <c r="AF14" s="30"/>
      <c r="AG14" s="30"/>
      <c r="AI14" s="30"/>
    </row>
    <row r="15" spans="1:42" x14ac:dyDescent="0.25">
      <c r="A15" s="491"/>
      <c r="B15" s="450"/>
      <c r="C15" s="475"/>
      <c r="D15" s="153">
        <v>72.75</v>
      </c>
      <c r="E15" s="154">
        <v>44071</v>
      </c>
      <c r="F15" s="476"/>
      <c r="G15" s="477"/>
      <c r="H15" s="478">
        <v>1.1000000000000001</v>
      </c>
      <c r="I15" s="498"/>
      <c r="J15" s="457"/>
      <c r="K15" s="480"/>
      <c r="L15" s="492"/>
      <c r="M15" s="429"/>
      <c r="N15" s="430"/>
      <c r="O15" s="499"/>
      <c r="P15" s="500"/>
      <c r="Q15" s="485">
        <v>10</v>
      </c>
      <c r="R15" s="465" t="s">
        <v>201</v>
      </c>
      <c r="S15" s="486"/>
      <c r="T15" s="467"/>
      <c r="U15" s="487">
        <v>10</v>
      </c>
      <c r="V15" s="469">
        <v>44062</v>
      </c>
      <c r="W15" s="488"/>
      <c r="X15" s="489"/>
      <c r="Y15" s="464"/>
      <c r="Z15" s="465"/>
      <c r="AA15" s="490"/>
      <c r="AB15" s="473"/>
      <c r="AC15" s="310"/>
      <c r="AD15" s="30"/>
      <c r="AE15" s="30"/>
      <c r="AF15" s="30"/>
      <c r="AG15" s="30"/>
      <c r="AI15" s="30"/>
    </row>
    <row r="16" spans="1:42" x14ac:dyDescent="0.25">
      <c r="A16" s="491"/>
      <c r="B16" s="450"/>
      <c r="C16" s="475"/>
      <c r="D16" s="153">
        <v>85.43</v>
      </c>
      <c r="E16" s="154">
        <v>44071</v>
      </c>
      <c r="F16" s="476"/>
      <c r="G16" s="477"/>
      <c r="H16" s="478">
        <v>13.3</v>
      </c>
      <c r="I16" s="498"/>
      <c r="J16" s="457"/>
      <c r="K16" s="480"/>
      <c r="L16" s="492"/>
      <c r="M16" s="429"/>
      <c r="N16" s="430"/>
      <c r="O16" s="499"/>
      <c r="P16" s="500"/>
      <c r="Q16" s="485">
        <v>50</v>
      </c>
      <c r="R16" s="465">
        <v>44047</v>
      </c>
      <c r="S16" s="486"/>
      <c r="T16" s="467"/>
      <c r="U16" s="487">
        <v>20</v>
      </c>
      <c r="V16" s="469">
        <v>44067</v>
      </c>
      <c r="W16" s="488"/>
      <c r="X16" s="489"/>
      <c r="Y16" s="464"/>
      <c r="Z16" s="465"/>
      <c r="AA16" s="490"/>
      <c r="AB16" s="473"/>
      <c r="AC16" s="310"/>
      <c r="AD16" s="30"/>
      <c r="AE16" s="30"/>
      <c r="AF16" s="30"/>
      <c r="AG16" s="30"/>
      <c r="AI16" s="30"/>
    </row>
    <row r="17" spans="1:39" x14ac:dyDescent="0.25">
      <c r="A17" s="491"/>
      <c r="B17" s="450"/>
      <c r="C17" s="475"/>
      <c r="D17" s="153"/>
      <c r="E17" s="154"/>
      <c r="F17" s="476"/>
      <c r="G17" s="477"/>
      <c r="H17" s="478"/>
      <c r="I17" s="498"/>
      <c r="J17" s="457"/>
      <c r="K17" s="480"/>
      <c r="L17" s="492"/>
      <c r="M17" s="429"/>
      <c r="N17" s="430"/>
      <c r="O17" s="499"/>
      <c r="P17" s="500"/>
      <c r="Q17" s="485">
        <v>20</v>
      </c>
      <c r="R17" s="465">
        <v>44050</v>
      </c>
      <c r="S17" s="486"/>
      <c r="T17" s="467"/>
      <c r="U17" s="487">
        <v>80</v>
      </c>
      <c r="V17" s="469">
        <v>44067</v>
      </c>
      <c r="W17" s="488"/>
      <c r="X17" s="489"/>
      <c r="Y17" s="464"/>
      <c r="Z17" s="465"/>
      <c r="AA17" s="490"/>
      <c r="AB17" s="473"/>
      <c r="AC17" s="310"/>
      <c r="AD17" s="30"/>
      <c r="AE17" s="30"/>
      <c r="AF17" s="30"/>
      <c r="AG17" s="30"/>
      <c r="AI17" s="30"/>
    </row>
    <row r="18" spans="1:39" x14ac:dyDescent="0.25">
      <c r="A18" s="491"/>
      <c r="B18" s="450"/>
      <c r="C18" s="475"/>
      <c r="D18" s="153"/>
      <c r="E18" s="154"/>
      <c r="F18" s="476"/>
      <c r="G18" s="477"/>
      <c r="H18" s="478"/>
      <c r="I18" s="498"/>
      <c r="J18" s="457"/>
      <c r="K18" s="480"/>
      <c r="L18" s="492"/>
      <c r="M18" s="429"/>
      <c r="N18" s="510"/>
      <c r="O18" s="499"/>
      <c r="P18" s="500"/>
      <c r="Q18" s="485">
        <v>20</v>
      </c>
      <c r="R18" s="465">
        <v>44051</v>
      </c>
      <c r="S18" s="486"/>
      <c r="T18" s="467"/>
      <c r="U18" s="487">
        <v>25</v>
      </c>
      <c r="V18" s="469">
        <v>44069</v>
      </c>
      <c r="W18" s="488"/>
      <c r="X18" s="489"/>
      <c r="Y18" s="464"/>
      <c r="Z18" s="465"/>
      <c r="AA18" s="490"/>
      <c r="AB18" s="473"/>
      <c r="AC18" s="310"/>
      <c r="AD18" s="30"/>
      <c r="AE18" s="30"/>
      <c r="AF18" s="30"/>
      <c r="AG18" s="30"/>
      <c r="AI18" s="30"/>
    </row>
    <row r="19" spans="1:39" x14ac:dyDescent="0.25">
      <c r="A19" s="491"/>
      <c r="B19" s="450"/>
      <c r="C19" s="475"/>
      <c r="D19" s="153"/>
      <c r="E19" s="154"/>
      <c r="F19" s="476"/>
      <c r="G19" s="477"/>
      <c r="H19" s="478"/>
      <c r="I19" s="498"/>
      <c r="J19" s="457"/>
      <c r="K19" s="480"/>
      <c r="L19" s="492"/>
      <c r="M19" s="429"/>
      <c r="N19" s="510"/>
      <c r="O19" s="499"/>
      <c r="P19" s="500"/>
      <c r="Q19" s="485">
        <v>50</v>
      </c>
      <c r="R19" s="465">
        <v>44055</v>
      </c>
      <c r="S19" s="486"/>
      <c r="T19" s="467"/>
      <c r="U19" s="487">
        <v>20</v>
      </c>
      <c r="V19" s="469">
        <v>44071</v>
      </c>
      <c r="W19" s="488"/>
      <c r="X19" s="489"/>
      <c r="Y19" s="464"/>
      <c r="Z19" s="465"/>
      <c r="AA19" s="490"/>
      <c r="AB19" s="473"/>
      <c r="AC19" s="310"/>
      <c r="AD19" s="30">
        <v>125</v>
      </c>
      <c r="AE19" s="30"/>
      <c r="AF19" s="30"/>
      <c r="AG19" s="30"/>
      <c r="AI19" s="30"/>
    </row>
    <row r="20" spans="1:39" x14ac:dyDescent="0.25">
      <c r="A20" s="491"/>
      <c r="B20" s="450"/>
      <c r="C20" s="475"/>
      <c r="D20" s="153"/>
      <c r="E20" s="154"/>
      <c r="F20" s="476"/>
      <c r="G20" s="477"/>
      <c r="H20" s="478"/>
      <c r="I20" s="498"/>
      <c r="J20" s="457"/>
      <c r="K20" s="480"/>
      <c r="L20" s="492"/>
      <c r="M20" s="493"/>
      <c r="N20" s="510"/>
      <c r="O20" s="499"/>
      <c r="P20" s="500"/>
      <c r="Q20" s="485">
        <v>50</v>
      </c>
      <c r="R20" s="465">
        <v>44058</v>
      </c>
      <c r="S20" s="486"/>
      <c r="T20" s="467"/>
      <c r="U20" s="487"/>
      <c r="V20" s="469"/>
      <c r="W20" s="488"/>
      <c r="X20" s="489"/>
      <c r="Y20" s="464"/>
      <c r="Z20" s="465"/>
      <c r="AA20" s="490"/>
      <c r="AB20" s="473"/>
      <c r="AC20" s="310"/>
      <c r="AD20" s="30">
        <v>150</v>
      </c>
      <c r="AE20" s="30"/>
      <c r="AF20" s="30"/>
      <c r="AG20" s="30"/>
      <c r="AI20" s="30"/>
    </row>
    <row r="21" spans="1:39" ht="15.75" customHeight="1" x14ac:dyDescent="0.25">
      <c r="A21" s="491"/>
      <c r="B21" s="450"/>
      <c r="C21" s="475"/>
      <c r="D21" s="153"/>
      <c r="E21" s="154"/>
      <c r="F21" s="476"/>
      <c r="G21" s="477"/>
      <c r="H21" s="478"/>
      <c r="I21" s="498"/>
      <c r="J21" s="457"/>
      <c r="K21" s="480"/>
      <c r="L21" s="492"/>
      <c r="M21" s="493"/>
      <c r="N21" s="510"/>
      <c r="O21" s="499"/>
      <c r="P21" s="500"/>
      <c r="Q21" s="485">
        <v>50</v>
      </c>
      <c r="R21" s="465">
        <v>44060</v>
      </c>
      <c r="S21" s="486"/>
      <c r="T21" s="467"/>
      <c r="U21" s="487"/>
      <c r="V21" s="469"/>
      <c r="W21" s="488"/>
      <c r="X21" s="489"/>
      <c r="Y21" s="464"/>
      <c r="Z21" s="465"/>
      <c r="AA21" s="490"/>
      <c r="AB21" s="473"/>
      <c r="AC21" s="310"/>
      <c r="AD21" s="30"/>
      <c r="AE21" s="30"/>
      <c r="AF21" s="30"/>
      <c r="AG21" s="30"/>
      <c r="AI21" s="30"/>
    </row>
    <row r="22" spans="1:39" ht="15.75" customHeight="1" x14ac:dyDescent="0.25">
      <c r="A22" s="491"/>
      <c r="B22" s="450"/>
      <c r="C22" s="475"/>
      <c r="D22" s="153"/>
      <c r="E22" s="154"/>
      <c r="F22" s="476"/>
      <c r="G22" s="477"/>
      <c r="H22" s="478"/>
      <c r="I22" s="498"/>
      <c r="J22" s="457"/>
      <c r="K22" s="480"/>
      <c r="L22" s="492"/>
      <c r="M22" s="493"/>
      <c r="N22" s="510"/>
      <c r="O22" s="499"/>
      <c r="P22" s="500"/>
      <c r="Q22" s="485">
        <v>20</v>
      </c>
      <c r="R22" s="465">
        <v>44063</v>
      </c>
      <c r="S22" s="486"/>
      <c r="T22" s="467"/>
      <c r="U22" s="487"/>
      <c r="V22" s="469"/>
      <c r="W22" s="488"/>
      <c r="X22" s="489"/>
      <c r="Y22" s="464"/>
      <c r="Z22" s="465"/>
      <c r="AA22" s="490"/>
      <c r="AB22" s="473"/>
      <c r="AC22" s="310"/>
      <c r="AD22" s="30"/>
      <c r="AE22" s="30"/>
      <c r="AF22" s="30"/>
      <c r="AG22" s="30"/>
      <c r="AI22" s="30"/>
    </row>
    <row r="23" spans="1:39" ht="15.75" customHeight="1" x14ac:dyDescent="0.25">
      <c r="A23" s="491"/>
      <c r="B23" s="450"/>
      <c r="C23" s="475"/>
      <c r="D23" s="153"/>
      <c r="E23" s="154"/>
      <c r="F23" s="476"/>
      <c r="G23" s="477"/>
      <c r="H23" s="478"/>
      <c r="I23" s="498"/>
      <c r="J23" s="457"/>
      <c r="K23" s="480"/>
      <c r="L23" s="492"/>
      <c r="M23" s="493"/>
      <c r="N23" s="510"/>
      <c r="O23" s="499"/>
      <c r="P23" s="500"/>
      <c r="Q23" s="485"/>
      <c r="R23" s="465"/>
      <c r="S23" s="486"/>
      <c r="T23" s="467"/>
      <c r="U23" s="487"/>
      <c r="V23" s="469"/>
      <c r="W23" s="488"/>
      <c r="X23" s="489"/>
      <c r="Y23" s="464"/>
      <c r="Z23" s="465"/>
      <c r="AA23" s="490"/>
      <c r="AB23" s="473"/>
      <c r="AC23" s="310"/>
      <c r="AD23" s="30"/>
      <c r="AE23" s="30"/>
      <c r="AF23" s="30"/>
      <c r="AG23" s="30"/>
      <c r="AI23" s="30"/>
    </row>
    <row r="24" spans="1:39" ht="15.75" customHeight="1" x14ac:dyDescent="0.25">
      <c r="A24" s="491"/>
      <c r="B24" s="450"/>
      <c r="C24" s="475"/>
      <c r="D24" s="153"/>
      <c r="E24" s="154"/>
      <c r="F24" s="476"/>
      <c r="G24" s="477"/>
      <c r="H24" s="478"/>
      <c r="I24" s="498"/>
      <c r="J24" s="457"/>
      <c r="K24" s="480"/>
      <c r="L24" s="492"/>
      <c r="M24" s="493"/>
      <c r="N24" s="510"/>
      <c r="O24" s="499"/>
      <c r="P24" s="500"/>
      <c r="Q24" s="485"/>
      <c r="R24" s="465"/>
      <c r="S24" s="486"/>
      <c r="T24" s="467"/>
      <c r="U24" s="487"/>
      <c r="V24" s="469"/>
      <c r="W24" s="488"/>
      <c r="X24" s="489"/>
      <c r="Y24" s="464"/>
      <c r="Z24" s="465"/>
      <c r="AA24" s="490"/>
      <c r="AB24" s="473"/>
      <c r="AC24" s="310"/>
      <c r="AD24" s="30"/>
      <c r="AE24" s="30"/>
      <c r="AF24" s="30"/>
      <c r="AG24" s="30"/>
      <c r="AI24" s="30"/>
    </row>
    <row r="25" spans="1:39" ht="15.75" customHeight="1" x14ac:dyDescent="0.25">
      <c r="A25" s="511"/>
      <c r="B25" s="512"/>
      <c r="C25" s="513"/>
      <c r="D25" s="514"/>
      <c r="E25" s="515"/>
      <c r="F25" s="516"/>
      <c r="G25" s="517"/>
      <c r="H25" s="518"/>
      <c r="I25" s="519"/>
      <c r="J25" s="520"/>
      <c r="K25" s="521"/>
      <c r="L25" s="522"/>
      <c r="M25" s="523"/>
      <c r="N25" s="524"/>
      <c r="O25" s="525"/>
      <c r="P25" s="526"/>
      <c r="Q25" s="527"/>
      <c r="R25" s="528"/>
      <c r="S25" s="529"/>
      <c r="T25" s="530"/>
      <c r="U25" s="531"/>
      <c r="V25" s="532"/>
      <c r="W25" s="533"/>
      <c r="X25" s="534"/>
      <c r="Y25" s="535"/>
      <c r="Z25" s="536"/>
      <c r="AA25" s="537"/>
      <c r="AB25" s="538"/>
      <c r="AC25" s="539"/>
      <c r="AD25" s="30"/>
      <c r="AE25" s="30"/>
      <c r="AF25" s="30"/>
      <c r="AG25" s="30"/>
      <c r="AI25" s="30"/>
    </row>
    <row r="26" spans="1:39" ht="15.75" customHeight="1" x14ac:dyDescent="0.25">
      <c r="A26" s="1249" t="s">
        <v>102</v>
      </c>
      <c r="B26" s="1250"/>
      <c r="C26" s="1251"/>
      <c r="D26" s="343" t="s">
        <v>103</v>
      </c>
      <c r="E26" s="343" t="s">
        <v>61</v>
      </c>
      <c r="F26" s="344" t="s">
        <v>103</v>
      </c>
      <c r="G26" s="1252" t="s">
        <v>103</v>
      </c>
      <c r="H26" s="1251"/>
      <c r="I26" s="1252" t="s">
        <v>102</v>
      </c>
      <c r="J26" s="1250"/>
      <c r="K26" s="1251"/>
      <c r="L26" s="1253" t="s">
        <v>102</v>
      </c>
      <c r="M26" s="1250"/>
      <c r="N26" s="1251"/>
      <c r="O26" s="1252" t="s">
        <v>104</v>
      </c>
      <c r="P26" s="1251"/>
      <c r="Q26" s="1252" t="s">
        <v>104</v>
      </c>
      <c r="R26" s="1251"/>
      <c r="S26" s="1252" t="s">
        <v>104</v>
      </c>
      <c r="T26" s="1251"/>
      <c r="U26" s="1252" t="s">
        <v>104</v>
      </c>
      <c r="V26" s="1251"/>
      <c r="W26" s="1254" t="s">
        <v>102</v>
      </c>
      <c r="X26" s="1255"/>
      <c r="Y26" s="1256" t="s">
        <v>102</v>
      </c>
      <c r="Z26" s="1255"/>
      <c r="AA26" s="1240" t="s">
        <v>102</v>
      </c>
      <c r="AB26" s="1241"/>
      <c r="AC26" s="1242"/>
      <c r="AE26" s="30"/>
      <c r="AF26" s="30"/>
      <c r="AG26" s="30"/>
      <c r="AI26" s="30"/>
    </row>
    <row r="27" spans="1:39" ht="15.75" customHeight="1" x14ac:dyDescent="0.25">
      <c r="A27" s="345">
        <f>SUM(A3:A25)</f>
        <v>8662.89</v>
      </c>
      <c r="B27" s="346"/>
      <c r="C27" s="196">
        <f t="shared" ref="C27:D27" si="0">SUM(C3:C25)</f>
        <v>0</v>
      </c>
      <c r="D27" s="197">
        <f t="shared" si="0"/>
        <v>1288.5600000000002</v>
      </c>
      <c r="E27" s="203">
        <v>0</v>
      </c>
      <c r="F27" s="347">
        <f t="shared" ref="F27:I27" si="1">SUM(F3:F25)</f>
        <v>102</v>
      </c>
      <c r="G27" s="197">
        <f t="shared" si="1"/>
        <v>4</v>
      </c>
      <c r="H27" s="199">
        <f t="shared" si="1"/>
        <v>197.00000000000003</v>
      </c>
      <c r="I27" s="197">
        <f t="shared" si="1"/>
        <v>126.65</v>
      </c>
      <c r="J27" s="348"/>
      <c r="K27" s="550">
        <f t="shared" ref="K27:L27" si="2">SUM(K3:K25)</f>
        <v>951.3</v>
      </c>
      <c r="L27" s="350">
        <f t="shared" si="2"/>
        <v>0</v>
      </c>
      <c r="M27" s="424">
        <f>N3+N4</f>
        <v>42.79</v>
      </c>
      <c r="N27" s="197">
        <f>N5+N6+N7+N8+N9+N10+N11+N12+N13</f>
        <v>407.28999999999996</v>
      </c>
      <c r="O27" s="353">
        <f t="shared" ref="O27:P27" si="3">O3</f>
        <v>865.06</v>
      </c>
      <c r="P27" s="354">
        <f t="shared" si="3"/>
        <v>0</v>
      </c>
      <c r="Q27" s="353">
        <f>SUM(Q3:Q25)</f>
        <v>740</v>
      </c>
      <c r="R27" s="354"/>
      <c r="S27" s="353">
        <f>SUM(S3:S25)</f>
        <v>350</v>
      </c>
      <c r="T27" s="354"/>
      <c r="U27" s="353">
        <f>SUM(U3:U25)</f>
        <v>595</v>
      </c>
      <c r="V27" s="354"/>
      <c r="W27" s="1247">
        <f>SUM(W3:W25)</f>
        <v>0</v>
      </c>
      <c r="X27" s="1248"/>
      <c r="Y27" s="1247">
        <f>SUM(Y3:Y25)</f>
        <v>0</v>
      </c>
      <c r="Z27" s="1248"/>
      <c r="AA27" s="358">
        <f>SUM(AA3:AA25)</f>
        <v>0</v>
      </c>
      <c r="AB27" s="359"/>
      <c r="AC27" s="360">
        <f>SUM(AC3:AC25)</f>
        <v>3225</v>
      </c>
      <c r="AE27" s="30"/>
      <c r="AF27" s="30"/>
      <c r="AG27" s="30"/>
      <c r="AI27" s="30"/>
    </row>
    <row r="28" spans="1:39" ht="15.75" customHeight="1" x14ac:dyDescent="0.25">
      <c r="I28" t="s">
        <v>223</v>
      </c>
      <c r="K28" t="s">
        <v>224</v>
      </c>
      <c r="M28" t="s">
        <v>207</v>
      </c>
      <c r="N28" t="s">
        <v>208</v>
      </c>
      <c r="Q28" s="543"/>
      <c r="S28" s="543"/>
      <c r="AE28" s="30"/>
      <c r="AF28" s="30"/>
      <c r="AG28" s="30"/>
      <c r="AI28" s="30"/>
    </row>
    <row r="29" spans="1:39" ht="15.75" customHeight="1" x14ac:dyDescent="0.25">
      <c r="A29">
        <v>2569</v>
      </c>
      <c r="B29">
        <v>27.7</v>
      </c>
      <c r="AE29" s="30"/>
      <c r="AF29" s="30"/>
      <c r="AG29" s="30"/>
      <c r="AI29" s="30"/>
    </row>
    <row r="30" spans="1:39" ht="15.75" customHeight="1" x14ac:dyDescent="0.25">
      <c r="E30" s="30"/>
      <c r="F30" s="30"/>
      <c r="G30" s="30"/>
      <c r="M30" s="30"/>
      <c r="P30" s="30"/>
      <c r="Q30" s="1268" t="s">
        <v>209</v>
      </c>
      <c r="R30" s="1269"/>
      <c r="S30" s="544"/>
      <c r="T30" s="30"/>
      <c r="U30" s="30"/>
      <c r="AF30" s="30"/>
      <c r="AG30" s="30"/>
      <c r="AI30" s="30"/>
      <c r="AJ30" s="30"/>
      <c r="AK30" s="30"/>
      <c r="AM30" s="30"/>
    </row>
    <row r="31" spans="1:39" ht="15.75" customHeight="1" x14ac:dyDescent="0.25">
      <c r="E31" s="30"/>
      <c r="F31" s="30"/>
      <c r="G31" s="30"/>
      <c r="J31" s="30"/>
      <c r="K31" s="30"/>
      <c r="L31" s="30"/>
      <c r="M31" s="30"/>
      <c r="P31" s="30"/>
      <c r="Q31" s="1270"/>
      <c r="R31" s="1271"/>
      <c r="S31" s="544"/>
      <c r="T31" s="30"/>
      <c r="U31" s="361"/>
      <c r="AF31" s="30"/>
      <c r="AG31" s="30"/>
      <c r="AI31" s="30"/>
      <c r="AJ31" s="30"/>
      <c r="AK31" s="30"/>
      <c r="AM31" s="30"/>
    </row>
    <row r="32" spans="1:39" ht="15.75" customHeight="1" x14ac:dyDescent="0.25">
      <c r="E32" s="30"/>
      <c r="F32" s="30"/>
      <c r="G32" s="30"/>
      <c r="J32" s="30"/>
      <c r="K32" s="30"/>
      <c r="L32" s="30"/>
      <c r="M32" s="30"/>
      <c r="P32" s="30"/>
      <c r="Q32" s="544"/>
      <c r="R32" s="544"/>
      <c r="S32" s="544"/>
      <c r="T32" s="30"/>
      <c r="U32" s="30"/>
      <c r="AF32" s="30"/>
      <c r="AG32" s="30"/>
      <c r="AI32" s="30"/>
      <c r="AJ32" s="30"/>
      <c r="AK32" s="30"/>
      <c r="AM32" s="30"/>
    </row>
    <row r="33" spans="5:39" ht="15.75" customHeight="1" x14ac:dyDescent="0.25">
      <c r="E33" s="30"/>
      <c r="F33" s="30"/>
      <c r="G33" s="30"/>
      <c r="J33" s="30"/>
      <c r="K33" s="30"/>
      <c r="L33" s="30"/>
      <c r="M33" s="30"/>
      <c r="P33" s="30"/>
      <c r="Q33" s="544"/>
      <c r="R33" s="544"/>
      <c r="S33" s="544"/>
      <c r="T33" s="30"/>
      <c r="U33" s="30"/>
      <c r="AF33" s="30"/>
      <c r="AG33" s="30"/>
      <c r="AI33" s="30"/>
      <c r="AJ33" s="30"/>
      <c r="AK33" s="30"/>
      <c r="AM33" s="30"/>
    </row>
    <row r="34" spans="5:39" ht="15.75" customHeight="1" x14ac:dyDescent="0.25">
      <c r="E34" s="30"/>
      <c r="F34" s="30"/>
      <c r="G34" s="30"/>
      <c r="J34" s="30"/>
      <c r="K34" s="30"/>
      <c r="L34" s="30"/>
      <c r="M34" s="30"/>
      <c r="P34" s="30"/>
      <c r="Q34" s="30"/>
      <c r="R34" s="30"/>
      <c r="T34" s="30"/>
      <c r="U34" s="30"/>
      <c r="AF34" s="30"/>
      <c r="AG34" s="30"/>
      <c r="AI34" s="30"/>
      <c r="AJ34" s="30"/>
      <c r="AK34" s="30"/>
      <c r="AM34" s="30"/>
    </row>
    <row r="35" spans="5:39" ht="15.75" customHeight="1" x14ac:dyDescent="0.25">
      <c r="E35" s="30"/>
      <c r="F35" s="30"/>
      <c r="G35" s="30"/>
      <c r="J35" s="30"/>
      <c r="K35" s="30"/>
      <c r="L35" s="30"/>
      <c r="M35" s="30"/>
      <c r="P35" s="30"/>
      <c r="Q35" s="30"/>
      <c r="R35" s="30"/>
      <c r="T35" s="30"/>
      <c r="U35" s="30"/>
      <c r="AF35" s="30"/>
      <c r="AG35" s="30"/>
      <c r="AI35" s="30"/>
      <c r="AJ35" s="30"/>
      <c r="AK35" s="30"/>
      <c r="AM35" s="30"/>
    </row>
    <row r="36" spans="5:39" ht="15.75" customHeight="1" x14ac:dyDescent="0.25">
      <c r="Q36" s="30"/>
    </row>
    <row r="37" spans="5:39" ht="15.75" customHeight="1" x14ac:dyDescent="0.25">
      <c r="Q37" s="30"/>
    </row>
    <row r="38" spans="5:39" ht="15.75" customHeight="1" x14ac:dyDescent="0.25"/>
    <row r="39" spans="5:39" ht="15.75" customHeight="1" x14ac:dyDescent="0.25"/>
    <row r="40" spans="5:39" ht="15.75" customHeight="1" x14ac:dyDescent="0.25"/>
    <row r="41" spans="5:39" ht="15.75" customHeight="1" x14ac:dyDescent="0.25"/>
    <row r="42" spans="5:39" ht="15.75" customHeight="1" x14ac:dyDescent="0.25"/>
    <row r="43" spans="5:39" ht="15.75" customHeight="1" x14ac:dyDescent="0.25"/>
    <row r="44" spans="5:39" ht="15.75" customHeight="1" x14ac:dyDescent="0.25"/>
    <row r="45" spans="5:39" ht="15.75" customHeight="1" x14ac:dyDescent="0.25"/>
    <row r="46" spans="5:39" ht="15.75" customHeight="1" x14ac:dyDescent="0.25"/>
    <row r="47" spans="5:39" ht="15.75" customHeight="1" x14ac:dyDescent="0.25"/>
    <row r="48" spans="5:3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26">
    <mergeCell ref="A1:F1"/>
    <mergeCell ref="G1:H1"/>
    <mergeCell ref="I1:K1"/>
    <mergeCell ref="L1:N1"/>
    <mergeCell ref="O1:P1"/>
    <mergeCell ref="AF1:AG1"/>
    <mergeCell ref="AF4:AG4"/>
    <mergeCell ref="AD1:AE1"/>
    <mergeCell ref="Q26:R26"/>
    <mergeCell ref="S26:T26"/>
    <mergeCell ref="U26:V26"/>
    <mergeCell ref="W26:X26"/>
    <mergeCell ref="AD4:AE4"/>
    <mergeCell ref="AA26:AC26"/>
    <mergeCell ref="Q1:Z1"/>
    <mergeCell ref="AA1:AC1"/>
    <mergeCell ref="A26:C26"/>
    <mergeCell ref="G26:H26"/>
    <mergeCell ref="I26:K26"/>
    <mergeCell ref="L26:N26"/>
    <mergeCell ref="O26:P26"/>
    <mergeCell ref="W27:X27"/>
    <mergeCell ref="Y27:Z27"/>
    <mergeCell ref="Y26:Z26"/>
    <mergeCell ref="AD9:AE9"/>
    <mergeCell ref="Q30:R31"/>
  </mergeCells>
  <pageMargins left="0.7" right="0.7" top="0.75" bottom="0.75" header="0" footer="0"/>
  <pageSetup orientation="landscape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F23971-86CA-F64D-B4C4-07C763EA86F2}">
  <dimension ref="A1:U45"/>
  <sheetViews>
    <sheetView zoomScaleNormal="60" zoomScaleSheetLayoutView="100" workbookViewId="0">
      <selection activeCell="R6" sqref="R6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5" width="11.28515625" customWidth="1"/>
    <col min="6" max="6" width="7.85546875" customWidth="1"/>
    <col min="7" max="7" width="10" bestFit="1" customWidth="1"/>
    <col min="8" max="8" width="9.42578125" bestFit="1" customWidth="1"/>
    <col min="9" max="9" width="8" bestFit="1" customWidth="1"/>
    <col min="10" max="10" width="14.85546875" bestFit="1" customWidth="1"/>
    <col min="11" max="11" width="10.42578125" bestFit="1" customWidth="1"/>
    <col min="12" max="12" width="8.7109375" bestFit="1" customWidth="1"/>
    <col min="13" max="13" width="8.42578125" bestFit="1" customWidth="1"/>
    <col min="14" max="16" width="20.140625" bestFit="1" customWidth="1"/>
    <col min="17" max="17" width="8.7109375" bestFit="1" customWidth="1"/>
    <col min="18" max="18" width="13" bestFit="1" customWidth="1"/>
    <col min="19" max="19" width="10.42578125" bestFit="1" customWidth="1"/>
    <col min="20" max="20" width="10.28515625" bestFit="1" customWidth="1"/>
    <col min="21" max="21" width="8.5703125" style="643"/>
  </cols>
  <sheetData>
    <row r="1" spans="1:21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285</v>
      </c>
      <c r="G1" s="650" t="s">
        <v>4</v>
      </c>
      <c r="H1" s="650" t="s">
        <v>5</v>
      </c>
      <c r="I1" s="650" t="s">
        <v>6</v>
      </c>
      <c r="J1" s="650" t="s">
        <v>7</v>
      </c>
      <c r="K1" s="650" t="s">
        <v>265</v>
      </c>
      <c r="L1" s="650" t="s">
        <v>8</v>
      </c>
      <c r="M1" s="650" t="s">
        <v>129</v>
      </c>
      <c r="N1" s="650" t="s">
        <v>9</v>
      </c>
      <c r="O1" s="650" t="s">
        <v>155</v>
      </c>
      <c r="P1" s="650" t="s">
        <v>10</v>
      </c>
      <c r="Q1" s="650" t="s">
        <v>11</v>
      </c>
      <c r="R1" s="650" t="s">
        <v>12</v>
      </c>
      <c r="S1" s="650" t="s">
        <v>13</v>
      </c>
      <c r="T1" s="650" t="s">
        <v>14</v>
      </c>
      <c r="U1" s="642"/>
    </row>
    <row r="2" spans="1:21" ht="15.75" thickBot="1" x14ac:dyDescent="0.3">
      <c r="A2" s="651">
        <v>44166</v>
      </c>
      <c r="B2" s="656" t="str">
        <f t="shared" ref="B2:B35" si="0">CHOOSE(WEEKDAY(U2),"Po","Út","St","Čt","Pá","So","Ne")</f>
        <v>Út</v>
      </c>
      <c r="C2" s="748">
        <f>Tabulka41428[[#This Row],[DO]]-Tabulka41428[[#This Row],[OD]]</f>
        <v>0</v>
      </c>
      <c r="D2" s="745">
        <f t="shared" ref="D2:D35" si="1">M2*C2</f>
        <v>0</v>
      </c>
      <c r="E2" s="723"/>
      <c r="F2" s="726"/>
      <c r="G2" s="653"/>
      <c r="H2" s="656"/>
      <c r="I2" s="653"/>
      <c r="J2" s="656"/>
      <c r="K2" s="653"/>
      <c r="L2" s="656" t="s">
        <v>16</v>
      </c>
      <c r="M2" s="713">
        <v>5</v>
      </c>
      <c r="N2" s="734">
        <f>(N4+N6)</f>
        <v>0</v>
      </c>
      <c r="O2" s="716">
        <f t="shared" ref="O2" si="2">O4+O6</f>
        <v>177</v>
      </c>
      <c r="P2" s="833">
        <v>0</v>
      </c>
      <c r="Q2" s="644" t="s">
        <v>17</v>
      </c>
      <c r="R2" s="644" t="s">
        <v>226</v>
      </c>
      <c r="S2" s="645" t="s">
        <v>227</v>
      </c>
      <c r="T2" s="722">
        <f>S7*20</f>
        <v>0</v>
      </c>
      <c r="U2" s="642">
        <f t="shared" ref="U2:U32" si="3">WEEKDAY(A2,2)</f>
        <v>2</v>
      </c>
    </row>
    <row r="3" spans="1:21" ht="15.75" thickBot="1" x14ac:dyDescent="0.3">
      <c r="A3" s="651">
        <v>44167</v>
      </c>
      <c r="B3" s="657" t="str">
        <f t="shared" si="0"/>
        <v>St</v>
      </c>
      <c r="C3" s="729">
        <f>Tabulka41428[[#This Row],[DO]]-Tabulka41428[[#This Row],[OD]]</f>
        <v>0</v>
      </c>
      <c r="D3" s="743">
        <f t="shared" si="1"/>
        <v>0</v>
      </c>
      <c r="E3" s="724"/>
      <c r="F3" s="727"/>
      <c r="G3" s="654"/>
      <c r="H3" s="657"/>
      <c r="I3" s="654"/>
      <c r="J3" s="657"/>
      <c r="K3" s="654"/>
      <c r="L3" s="657" t="s">
        <v>16</v>
      </c>
      <c r="M3" s="714">
        <v>0</v>
      </c>
      <c r="N3" s="711" t="s">
        <v>19</v>
      </c>
      <c r="O3" s="717" t="s">
        <v>19</v>
      </c>
      <c r="P3" s="739">
        <v>0</v>
      </c>
      <c r="Q3" s="611" t="s">
        <v>17</v>
      </c>
      <c r="R3" s="611" t="s">
        <v>210</v>
      </c>
      <c r="S3" s="646">
        <v>44054</v>
      </c>
      <c r="T3" s="718"/>
      <c r="U3" s="642">
        <f t="shared" si="3"/>
        <v>3</v>
      </c>
    </row>
    <row r="4" spans="1:21" ht="15.75" thickBot="1" x14ac:dyDescent="0.3">
      <c r="A4" s="651">
        <v>44168</v>
      </c>
      <c r="B4" s="657" t="str">
        <f t="shared" si="0"/>
        <v>Čt</v>
      </c>
      <c r="C4" s="729">
        <f>Tabulka41428[[#This Row],[DO]]-Tabulka41428[[#This Row],[OD]]</f>
        <v>0</v>
      </c>
      <c r="D4" s="743">
        <f t="shared" si="1"/>
        <v>0</v>
      </c>
      <c r="E4" s="724"/>
      <c r="F4" s="727"/>
      <c r="G4" s="654"/>
      <c r="H4" s="657"/>
      <c r="I4" s="654"/>
      <c r="J4" s="657"/>
      <c r="K4" s="654"/>
      <c r="L4" s="657" t="s">
        <v>16</v>
      </c>
      <c r="M4" s="714">
        <v>0</v>
      </c>
      <c r="N4" s="735">
        <f>SUM(C2:C32)</f>
        <v>0</v>
      </c>
      <c r="O4" s="717">
        <v>177</v>
      </c>
      <c r="P4" s="739">
        <v>0</v>
      </c>
      <c r="Q4" s="611" t="s">
        <v>17</v>
      </c>
      <c r="R4" s="611" t="s">
        <v>210</v>
      </c>
      <c r="S4" s="646"/>
      <c r="T4" s="718"/>
      <c r="U4" s="642">
        <f t="shared" si="3"/>
        <v>4</v>
      </c>
    </row>
    <row r="5" spans="1:21" ht="15.75" thickBot="1" x14ac:dyDescent="0.3">
      <c r="A5" s="651">
        <v>44169</v>
      </c>
      <c r="B5" s="657" t="str">
        <f t="shared" si="0"/>
        <v>Pá</v>
      </c>
      <c r="C5" s="729">
        <f>Tabulka41428[[#This Row],[DO]]-Tabulka41428[[#This Row],[OD]]</f>
        <v>0</v>
      </c>
      <c r="D5" s="743">
        <f t="shared" si="1"/>
        <v>0</v>
      </c>
      <c r="E5" s="724"/>
      <c r="F5" s="727"/>
      <c r="G5" s="654"/>
      <c r="H5" s="657"/>
      <c r="I5" s="654"/>
      <c r="J5" s="657"/>
      <c r="K5" s="654"/>
      <c r="L5" s="657" t="s">
        <v>16</v>
      </c>
      <c r="M5" s="714">
        <v>0</v>
      </c>
      <c r="N5" s="711" t="s">
        <v>14</v>
      </c>
      <c r="O5" s="717" t="s">
        <v>14</v>
      </c>
      <c r="P5" s="739">
        <v>29937</v>
      </c>
      <c r="Q5" s="611" t="s">
        <v>17</v>
      </c>
      <c r="R5" s="611" t="s">
        <v>312</v>
      </c>
      <c r="S5" s="646" t="s">
        <v>225</v>
      </c>
      <c r="T5" s="718"/>
      <c r="U5" s="642">
        <f t="shared" si="3"/>
        <v>5</v>
      </c>
    </row>
    <row r="6" spans="1:21" ht="15.75" thickBot="1" x14ac:dyDescent="0.3">
      <c r="A6" s="651">
        <v>44170</v>
      </c>
      <c r="B6" s="657" t="str">
        <f t="shared" si="0"/>
        <v>So</v>
      </c>
      <c r="C6" s="729">
        <f>Tabulka41428[[#This Row],[DO]]-Tabulka41428[[#This Row],[OD]]</f>
        <v>0</v>
      </c>
      <c r="D6" s="743">
        <f t="shared" si="1"/>
        <v>0</v>
      </c>
      <c r="E6" s="724"/>
      <c r="F6" s="727"/>
      <c r="G6" s="654"/>
      <c r="H6" s="657"/>
      <c r="I6" s="654"/>
      <c r="J6" s="657"/>
      <c r="K6" s="654"/>
      <c r="L6" s="657" t="s">
        <v>16</v>
      </c>
      <c r="M6" s="714">
        <v>0</v>
      </c>
      <c r="N6" s="735">
        <v>0</v>
      </c>
      <c r="O6" s="717">
        <v>0</v>
      </c>
      <c r="P6" s="712" t="s">
        <v>228</v>
      </c>
      <c r="Q6" s="647"/>
      <c r="R6" s="647" t="s">
        <v>48</v>
      </c>
      <c r="S6" s="648"/>
      <c r="T6" s="718"/>
      <c r="U6" s="642">
        <f t="shared" si="3"/>
        <v>6</v>
      </c>
    </row>
    <row r="7" spans="1:21" ht="15.75" thickBot="1" x14ac:dyDescent="0.3">
      <c r="A7" s="651">
        <v>44171</v>
      </c>
      <c r="B7" s="657" t="str">
        <f t="shared" si="0"/>
        <v>Ne</v>
      </c>
      <c r="C7" s="729">
        <f>Tabulka41428[[#This Row],[DO]]-Tabulka41428[[#This Row],[OD]]</f>
        <v>0</v>
      </c>
      <c r="D7" s="743">
        <f t="shared" si="1"/>
        <v>0</v>
      </c>
      <c r="E7" s="724"/>
      <c r="F7" s="727"/>
      <c r="G7" s="654"/>
      <c r="H7" s="657"/>
      <c r="I7" s="654"/>
      <c r="J7" s="657"/>
      <c r="K7" s="654"/>
      <c r="L7" s="657" t="s">
        <v>16</v>
      </c>
      <c r="M7" s="714">
        <v>0</v>
      </c>
      <c r="N7" s="711" t="s">
        <v>20</v>
      </c>
      <c r="O7" s="646" t="s">
        <v>20</v>
      </c>
      <c r="P7" s="721">
        <f>P3+P4</f>
        <v>0</v>
      </c>
      <c r="Q7" s="718"/>
      <c r="R7" s="718"/>
      <c r="S7" s="718"/>
      <c r="T7" s="718"/>
      <c r="U7" s="642">
        <f t="shared" si="3"/>
        <v>7</v>
      </c>
    </row>
    <row r="8" spans="1:21" ht="15.75" thickBot="1" x14ac:dyDescent="0.3">
      <c r="A8" s="651">
        <v>44172</v>
      </c>
      <c r="B8" s="657" t="str">
        <f t="shared" si="0"/>
        <v>Po</v>
      </c>
      <c r="C8" s="729">
        <f>Tabulka41428[[#This Row],[DO]]-Tabulka41428[[#This Row],[OD]]</f>
        <v>0</v>
      </c>
      <c r="D8" s="743">
        <f t="shared" si="1"/>
        <v>0</v>
      </c>
      <c r="E8" s="724"/>
      <c r="F8" s="727"/>
      <c r="G8" s="654"/>
      <c r="H8" s="657"/>
      <c r="I8" s="654"/>
      <c r="J8" s="657"/>
      <c r="K8" s="654"/>
      <c r="L8" s="657" t="s">
        <v>16</v>
      </c>
      <c r="M8" s="714">
        <v>0</v>
      </c>
      <c r="N8" s="711" t="s">
        <v>22</v>
      </c>
      <c r="O8" s="646" t="s">
        <v>22</v>
      </c>
      <c r="P8" s="657" t="s">
        <v>229</v>
      </c>
      <c r="Q8" s="718"/>
      <c r="R8" s="718"/>
      <c r="S8" s="718"/>
      <c r="T8" s="718"/>
      <c r="U8" s="642">
        <f t="shared" si="3"/>
        <v>1</v>
      </c>
    </row>
    <row r="9" spans="1:21" ht="15.75" thickBot="1" x14ac:dyDescent="0.3">
      <c r="A9" s="651">
        <v>44173</v>
      </c>
      <c r="B9" s="657" t="str">
        <f t="shared" si="0"/>
        <v>Út</v>
      </c>
      <c r="C9" s="729">
        <f>Tabulka41428[[#This Row],[DO]]-Tabulka41428[[#This Row],[OD]]</f>
        <v>0</v>
      </c>
      <c r="D9" s="743">
        <f t="shared" si="1"/>
        <v>0</v>
      </c>
      <c r="E9" s="724"/>
      <c r="F9" s="727"/>
      <c r="G9" s="654"/>
      <c r="H9" s="657"/>
      <c r="I9" s="654"/>
      <c r="J9" s="657"/>
      <c r="K9" s="654"/>
      <c r="L9" s="657" t="s">
        <v>16</v>
      </c>
      <c r="M9" s="714">
        <v>0</v>
      </c>
      <c r="N9" s="711" t="s">
        <v>23</v>
      </c>
      <c r="O9" s="646" t="s">
        <v>23</v>
      </c>
      <c r="P9" s="657">
        <f>SUM(P2:P4)</f>
        <v>0</v>
      </c>
      <c r="Q9" s="718"/>
      <c r="R9" s="718"/>
      <c r="S9" s="718"/>
      <c r="T9" s="718"/>
      <c r="U9" s="642">
        <f t="shared" si="3"/>
        <v>2</v>
      </c>
    </row>
    <row r="10" spans="1:21" ht="15.75" thickBot="1" x14ac:dyDescent="0.3">
      <c r="A10" s="651">
        <v>44174</v>
      </c>
      <c r="B10" s="657" t="str">
        <f t="shared" si="0"/>
        <v>St</v>
      </c>
      <c r="C10" s="729">
        <f>Tabulka41428[[#This Row],[DO]]-Tabulka41428[[#This Row],[OD]]</f>
        <v>0</v>
      </c>
      <c r="D10" s="743">
        <f t="shared" si="1"/>
        <v>0</v>
      </c>
      <c r="E10" s="724"/>
      <c r="F10" s="727"/>
      <c r="G10" s="654"/>
      <c r="H10" s="657"/>
      <c r="I10" s="654"/>
      <c r="J10" s="657"/>
      <c r="K10" s="654"/>
      <c r="L10" s="657" t="s">
        <v>16</v>
      </c>
      <c r="M10" s="714">
        <v>0</v>
      </c>
      <c r="N10" s="738">
        <f>(N2*24*360)+T2</f>
        <v>0</v>
      </c>
      <c r="O10" s="740">
        <f>SUM(O2*360)</f>
        <v>63720</v>
      </c>
      <c r="P10" s="719"/>
      <c r="Q10" s="718"/>
      <c r="R10" s="718"/>
      <c r="S10" s="718"/>
      <c r="T10" s="718"/>
      <c r="U10" s="642">
        <f t="shared" si="3"/>
        <v>3</v>
      </c>
    </row>
    <row r="11" spans="1:21" ht="15.75" thickBot="1" x14ac:dyDescent="0.3">
      <c r="A11" s="651">
        <v>44175</v>
      </c>
      <c r="B11" s="657" t="str">
        <f t="shared" si="0"/>
        <v>Čt</v>
      </c>
      <c r="C11" s="729">
        <f>Tabulka41428[[#This Row],[DO]]-Tabulka41428[[#This Row],[OD]]</f>
        <v>0</v>
      </c>
      <c r="D11" s="743">
        <f t="shared" si="1"/>
        <v>0</v>
      </c>
      <c r="E11" s="724"/>
      <c r="F11" s="727"/>
      <c r="G11" s="654"/>
      <c r="H11" s="657"/>
      <c r="I11" s="654"/>
      <c r="J11" s="657"/>
      <c r="K11" s="654"/>
      <c r="L11" s="657" t="s">
        <v>16</v>
      </c>
      <c r="M11" s="714">
        <v>0</v>
      </c>
      <c r="N11" s="711" t="s">
        <v>24</v>
      </c>
      <c r="O11" s="646" t="s">
        <v>24</v>
      </c>
      <c r="P11" s="718"/>
      <c r="Q11" s="718"/>
      <c r="R11" s="718"/>
      <c r="S11" s="718"/>
      <c r="T11" s="718"/>
      <c r="U11" s="642">
        <f t="shared" si="3"/>
        <v>4</v>
      </c>
    </row>
    <row r="12" spans="1:21" ht="15.75" thickBot="1" x14ac:dyDescent="0.3">
      <c r="A12" s="651">
        <v>44176</v>
      </c>
      <c r="B12" s="657" t="str">
        <f t="shared" si="0"/>
        <v>Pá</v>
      </c>
      <c r="C12" s="729">
        <f>Tabulka41428[[#This Row],[DO]]-Tabulka41428[[#This Row],[OD]]</f>
        <v>0</v>
      </c>
      <c r="D12" s="743">
        <f t="shared" si="1"/>
        <v>0</v>
      </c>
      <c r="E12" s="724"/>
      <c r="F12" s="727"/>
      <c r="G12" s="654"/>
      <c r="H12" s="657"/>
      <c r="I12" s="654"/>
      <c r="J12" s="657"/>
      <c r="K12" s="654"/>
      <c r="L12" s="657" t="s">
        <v>16</v>
      </c>
      <c r="M12" s="714">
        <v>0</v>
      </c>
      <c r="N12" s="738">
        <f>(N10+N20+N18-N22)-N14</f>
        <v>-15020.519999999999</v>
      </c>
      <c r="O12" s="747">
        <f>(O10+O18+O20-O22)-O14</f>
        <v>64391</v>
      </c>
      <c r="P12" s="718"/>
      <c r="Q12" s="718"/>
      <c r="R12" s="718"/>
      <c r="S12" s="718"/>
      <c r="T12" s="718"/>
      <c r="U12" s="642">
        <f t="shared" si="3"/>
        <v>5</v>
      </c>
    </row>
    <row r="13" spans="1:21" ht="15.75" thickBot="1" x14ac:dyDescent="0.3">
      <c r="A13" s="651">
        <v>44177</v>
      </c>
      <c r="B13" s="657" t="str">
        <f t="shared" si="0"/>
        <v>So</v>
      </c>
      <c r="C13" s="729">
        <f>Tabulka41428[[#This Row],[DO]]-Tabulka41428[[#This Row],[OD]]</f>
        <v>0</v>
      </c>
      <c r="D13" s="743">
        <f t="shared" si="1"/>
        <v>0</v>
      </c>
      <c r="E13" s="724"/>
      <c r="F13" s="727"/>
      <c r="G13" s="654"/>
      <c r="H13" s="657"/>
      <c r="I13" s="654"/>
      <c r="J13" s="657"/>
      <c r="K13" s="654"/>
      <c r="L13" s="657" t="s">
        <v>16</v>
      </c>
      <c r="M13" s="714">
        <v>0</v>
      </c>
      <c r="N13" s="711" t="s">
        <v>26</v>
      </c>
      <c r="O13" s="747" t="s">
        <v>26</v>
      </c>
      <c r="P13" s="718"/>
      <c r="Q13" s="718"/>
      <c r="R13" s="718"/>
      <c r="S13" s="718"/>
      <c r="T13" s="718"/>
      <c r="U13" s="642">
        <f t="shared" si="3"/>
        <v>6</v>
      </c>
    </row>
    <row r="14" spans="1:21" ht="15.75" thickBot="1" x14ac:dyDescent="0.3">
      <c r="A14" s="651">
        <v>44178</v>
      </c>
      <c r="B14" s="657" t="str">
        <f t="shared" si="0"/>
        <v>Ne</v>
      </c>
      <c r="C14" s="729">
        <f>Tabulka41428[[#This Row],[DO]]-Tabulka41428[[#This Row],[OD]]</f>
        <v>0</v>
      </c>
      <c r="D14" s="743">
        <f t="shared" si="1"/>
        <v>0</v>
      </c>
      <c r="E14" s="724"/>
      <c r="F14" s="727"/>
      <c r="G14" s="654"/>
      <c r="H14" s="657"/>
      <c r="I14" s="654"/>
      <c r="J14" s="657"/>
      <c r="K14" s="654"/>
      <c r="L14" s="657" t="s">
        <v>16</v>
      </c>
      <c r="M14" s="714">
        <v>0</v>
      </c>
      <c r="N14" s="738">
        <f>(N16*26.24)</f>
        <v>15691.519999999999</v>
      </c>
      <c r="O14" s="747">
        <f t="shared" ref="O14" si="4">(O16*26.17)</f>
        <v>0</v>
      </c>
      <c r="P14" s="718"/>
      <c r="Q14" s="718"/>
      <c r="R14" s="718"/>
      <c r="S14" s="718"/>
      <c r="T14" s="718"/>
      <c r="U14" s="642">
        <f t="shared" si="3"/>
        <v>7</v>
      </c>
    </row>
    <row r="15" spans="1:21" ht="15.75" thickBot="1" x14ac:dyDescent="0.3">
      <c r="A15" s="651">
        <v>44179</v>
      </c>
      <c r="B15" s="657" t="str">
        <f t="shared" si="0"/>
        <v>Po</v>
      </c>
      <c r="C15" s="729">
        <f>Tabulka41428[[#This Row],[DO]]-Tabulka41428[[#This Row],[OD]]</f>
        <v>0</v>
      </c>
      <c r="D15" s="743">
        <f t="shared" si="1"/>
        <v>0</v>
      </c>
      <c r="E15" s="724"/>
      <c r="F15" s="727"/>
      <c r="G15" s="654"/>
      <c r="H15" s="657"/>
      <c r="I15" s="654"/>
      <c r="J15" s="657"/>
      <c r="K15" s="654"/>
      <c r="L15" s="657" t="s">
        <v>16</v>
      </c>
      <c r="M15" s="714">
        <v>0</v>
      </c>
      <c r="N15" s="711" t="s">
        <v>29</v>
      </c>
      <c r="O15" s="646" t="s">
        <v>29</v>
      </c>
      <c r="P15" s="718"/>
      <c r="Q15" s="718"/>
      <c r="R15" s="718"/>
      <c r="S15" s="718"/>
      <c r="T15" s="718"/>
      <c r="U15" s="642">
        <f t="shared" si="3"/>
        <v>1</v>
      </c>
    </row>
    <row r="16" spans="1:21" ht="15.75" thickBot="1" x14ac:dyDescent="0.3">
      <c r="A16" s="651">
        <v>44180</v>
      </c>
      <c r="B16" s="657" t="str">
        <f t="shared" si="0"/>
        <v>Út</v>
      </c>
      <c r="C16" s="729">
        <f>Tabulka41428[[#This Row],[DO]]-Tabulka41428[[#This Row],[OD]]</f>
        <v>0</v>
      </c>
      <c r="D16" s="743">
        <f t="shared" si="1"/>
        <v>0</v>
      </c>
      <c r="E16" s="724"/>
      <c r="F16" s="727"/>
      <c r="G16" s="654"/>
      <c r="H16" s="657"/>
      <c r="I16" s="654"/>
      <c r="J16" s="657"/>
      <c r="K16" s="654"/>
      <c r="L16" s="657" t="s">
        <v>16</v>
      </c>
      <c r="M16" s="714">
        <v>0</v>
      </c>
      <c r="N16" s="741">
        <v>598</v>
      </c>
      <c r="O16" s="742"/>
      <c r="P16" s="718"/>
      <c r="Q16" s="718"/>
      <c r="R16" s="718"/>
      <c r="S16" s="718"/>
      <c r="T16" s="718"/>
      <c r="U16" s="642">
        <f t="shared" si="3"/>
        <v>2</v>
      </c>
    </row>
    <row r="17" spans="1:21" ht="15.75" thickBot="1" x14ac:dyDescent="0.3">
      <c r="A17" s="651">
        <v>44181</v>
      </c>
      <c r="B17" s="657" t="str">
        <f t="shared" si="0"/>
        <v>St</v>
      </c>
      <c r="C17" s="729">
        <f>Tabulka41428[[#This Row],[DO]]-Tabulka41428[[#This Row],[OD]]</f>
        <v>0</v>
      </c>
      <c r="D17" s="743">
        <f t="shared" si="1"/>
        <v>0</v>
      </c>
      <c r="E17" s="724"/>
      <c r="F17" s="727"/>
      <c r="G17" s="654"/>
      <c r="H17" s="657"/>
      <c r="I17" s="654"/>
      <c r="J17" s="657"/>
      <c r="K17" s="654"/>
      <c r="L17" s="657" t="s">
        <v>16</v>
      </c>
      <c r="M17" s="714">
        <v>0</v>
      </c>
      <c r="N17" s="711" t="s">
        <v>31</v>
      </c>
      <c r="O17" s="646" t="s">
        <v>31</v>
      </c>
      <c r="P17" s="718"/>
      <c r="Q17" s="718"/>
      <c r="R17" s="718"/>
      <c r="S17" s="718"/>
      <c r="T17" s="718"/>
      <c r="U17" s="642">
        <f t="shared" si="3"/>
        <v>3</v>
      </c>
    </row>
    <row r="18" spans="1:21" ht="15.75" thickBot="1" x14ac:dyDescent="0.3">
      <c r="A18" s="651">
        <v>44182</v>
      </c>
      <c r="B18" s="657" t="str">
        <f t="shared" si="0"/>
        <v>Čt</v>
      </c>
      <c r="C18" s="729">
        <f>Tabulka41428[[#This Row],[DO]]-Tabulka41428[[#This Row],[OD]]</f>
        <v>0</v>
      </c>
      <c r="D18" s="743">
        <f t="shared" si="1"/>
        <v>0</v>
      </c>
      <c r="E18" s="724"/>
      <c r="F18" s="727"/>
      <c r="G18" s="654"/>
      <c r="H18" s="657"/>
      <c r="I18" s="654"/>
      <c r="J18" s="657"/>
      <c r="K18" s="654"/>
      <c r="L18" s="657" t="s">
        <v>16</v>
      </c>
      <c r="M18" s="714">
        <v>0</v>
      </c>
      <c r="N18" s="738">
        <v>671</v>
      </c>
      <c r="O18" s="747">
        <v>671</v>
      </c>
      <c r="P18" s="718"/>
      <c r="Q18" s="718"/>
      <c r="R18" s="718"/>
      <c r="S18" s="718"/>
      <c r="T18" s="718"/>
      <c r="U18" s="642">
        <f t="shared" si="3"/>
        <v>4</v>
      </c>
    </row>
    <row r="19" spans="1:21" ht="15.75" thickBot="1" x14ac:dyDescent="0.3">
      <c r="A19" s="651">
        <v>44183</v>
      </c>
      <c r="B19" s="657" t="str">
        <f t="shared" si="0"/>
        <v>Pá</v>
      </c>
      <c r="C19" s="729">
        <f>Tabulka41428[[#This Row],[DO]]-Tabulka41428[[#This Row],[OD]]</f>
        <v>0</v>
      </c>
      <c r="D19" s="743">
        <f t="shared" si="1"/>
        <v>0</v>
      </c>
      <c r="E19" s="724"/>
      <c r="F19" s="727"/>
      <c r="G19" s="654"/>
      <c r="H19" s="657"/>
      <c r="I19" s="654"/>
      <c r="J19" s="657"/>
      <c r="K19" s="654"/>
      <c r="L19" s="657" t="s">
        <v>16</v>
      </c>
      <c r="M19" s="714">
        <v>0</v>
      </c>
      <c r="N19" s="738" t="s">
        <v>33</v>
      </c>
      <c r="O19" s="747" t="s">
        <v>33</v>
      </c>
      <c r="P19" s="718"/>
      <c r="Q19" s="718"/>
      <c r="R19" s="718"/>
      <c r="S19" s="718"/>
      <c r="T19" s="718"/>
      <c r="U19" s="642">
        <f t="shared" si="3"/>
        <v>5</v>
      </c>
    </row>
    <row r="20" spans="1:21" ht="15.75" thickBot="1" x14ac:dyDescent="0.3">
      <c r="A20" s="651">
        <v>44184</v>
      </c>
      <c r="B20" s="657" t="str">
        <f t="shared" si="0"/>
        <v>So</v>
      </c>
      <c r="C20" s="729">
        <f>Tabulka41428[[#This Row],[DO]]-Tabulka41428[[#This Row],[OD]]</f>
        <v>0</v>
      </c>
      <c r="D20" s="743">
        <f t="shared" si="1"/>
        <v>0</v>
      </c>
      <c r="E20" s="724"/>
      <c r="F20" s="727"/>
      <c r="G20" s="654"/>
      <c r="H20" s="657"/>
      <c r="I20" s="654"/>
      <c r="J20" s="657"/>
      <c r="K20" s="654"/>
      <c r="L20" s="657" t="s">
        <v>16</v>
      </c>
      <c r="M20" s="714">
        <v>0</v>
      </c>
      <c r="N20" s="738">
        <v>0</v>
      </c>
      <c r="O20" s="747">
        <v>0</v>
      </c>
      <c r="P20" s="718"/>
      <c r="Q20" s="718"/>
      <c r="R20" s="718"/>
      <c r="S20" s="718"/>
      <c r="T20" s="718"/>
      <c r="U20" s="642">
        <f t="shared" si="3"/>
        <v>6</v>
      </c>
    </row>
    <row r="21" spans="1:21" ht="15.75" thickBot="1" x14ac:dyDescent="0.3">
      <c r="A21" s="651">
        <v>44185</v>
      </c>
      <c r="B21" s="657" t="str">
        <f t="shared" si="0"/>
        <v>Ne</v>
      </c>
      <c r="C21" s="729">
        <f>Tabulka41428[[#This Row],[DO]]-Tabulka41428[[#This Row],[OD]]</f>
        <v>0</v>
      </c>
      <c r="D21" s="743">
        <f t="shared" si="1"/>
        <v>0</v>
      </c>
      <c r="E21" s="724"/>
      <c r="F21" s="727"/>
      <c r="G21" s="654"/>
      <c r="H21" s="657"/>
      <c r="I21" s="654"/>
      <c r="J21" s="657"/>
      <c r="K21" s="654"/>
      <c r="L21" s="657" t="s">
        <v>16</v>
      </c>
      <c r="M21" s="714">
        <v>0</v>
      </c>
      <c r="N21" s="738" t="s">
        <v>34</v>
      </c>
      <c r="O21" s="747" t="s">
        <v>34</v>
      </c>
      <c r="P21" s="718"/>
      <c r="Q21" s="718"/>
      <c r="R21" s="718"/>
      <c r="S21" s="718"/>
      <c r="T21" s="718"/>
      <c r="U21" s="642">
        <f t="shared" si="3"/>
        <v>7</v>
      </c>
    </row>
    <row r="22" spans="1:21" ht="15.75" thickBot="1" x14ac:dyDescent="0.3">
      <c r="A22" s="651">
        <v>44186</v>
      </c>
      <c r="B22" s="657" t="str">
        <f t="shared" si="0"/>
        <v>Po</v>
      </c>
      <c r="C22" s="729">
        <f>Tabulka41428[[#This Row],[DO]]-Tabulka41428[[#This Row],[OD]]</f>
        <v>0</v>
      </c>
      <c r="D22" s="743">
        <f t="shared" si="1"/>
        <v>0</v>
      </c>
      <c r="E22" s="724"/>
      <c r="F22" s="727"/>
      <c r="G22" s="654"/>
      <c r="H22" s="657"/>
      <c r="I22" s="654"/>
      <c r="J22" s="657"/>
      <c r="K22" s="654"/>
      <c r="L22" s="657" t="s">
        <v>16</v>
      </c>
      <c r="M22" s="714">
        <v>0</v>
      </c>
      <c r="N22" s="738">
        <v>0</v>
      </c>
      <c r="O22" s="747"/>
      <c r="P22" s="718"/>
      <c r="Q22" s="718"/>
      <c r="R22" s="718"/>
      <c r="S22" s="718"/>
      <c r="T22" s="718"/>
      <c r="U22" s="642">
        <f t="shared" si="3"/>
        <v>1</v>
      </c>
    </row>
    <row r="23" spans="1:21" ht="15.75" thickBot="1" x14ac:dyDescent="0.3">
      <c r="A23" s="651">
        <v>44187</v>
      </c>
      <c r="B23" s="657" t="str">
        <f t="shared" si="0"/>
        <v>Út</v>
      </c>
      <c r="C23" s="729">
        <f>Tabulka41428[[#This Row],[DO]]-Tabulka41428[[#This Row],[OD]]</f>
        <v>0</v>
      </c>
      <c r="D23" s="743">
        <f t="shared" si="1"/>
        <v>0</v>
      </c>
      <c r="E23" s="724"/>
      <c r="F23" s="727"/>
      <c r="G23" s="654"/>
      <c r="H23" s="657"/>
      <c r="I23" s="654"/>
      <c r="J23" s="657"/>
      <c r="K23" s="654"/>
      <c r="L23" s="657" t="s">
        <v>16</v>
      </c>
      <c r="M23" s="714">
        <v>0</v>
      </c>
      <c r="N23" s="711" t="s">
        <v>35</v>
      </c>
      <c r="O23" s="646" t="s">
        <v>164</v>
      </c>
      <c r="P23" s="718"/>
      <c r="Q23" s="718"/>
      <c r="R23" s="718"/>
      <c r="S23" s="718"/>
      <c r="T23" s="718"/>
      <c r="U23" s="642">
        <f t="shared" si="3"/>
        <v>2</v>
      </c>
    </row>
    <row r="24" spans="1:21" ht="15.75" thickBot="1" x14ac:dyDescent="0.3">
      <c r="A24" s="651">
        <v>44188</v>
      </c>
      <c r="B24" s="657" t="str">
        <f t="shared" si="0"/>
        <v>St</v>
      </c>
      <c r="C24" s="729">
        <f>Tabulka41428[[#This Row],[DO]]-Tabulka41428[[#This Row],[OD]]</f>
        <v>0</v>
      </c>
      <c r="D24" s="743">
        <f t="shared" si="1"/>
        <v>0</v>
      </c>
      <c r="E24" s="724"/>
      <c r="F24" s="727"/>
      <c r="G24" s="654"/>
      <c r="H24" s="657"/>
      <c r="I24" s="654"/>
      <c r="J24" s="657"/>
      <c r="K24" s="654"/>
      <c r="L24" s="657" t="s">
        <v>16</v>
      </c>
      <c r="M24" s="714">
        <v>0</v>
      </c>
      <c r="N24" s="739">
        <f>N12-P7+N28-P5</f>
        <v>-3379.5199999999968</v>
      </c>
      <c r="O24" s="740">
        <f>O12+N28-P5-P7-O26</f>
        <v>20447</v>
      </c>
      <c r="P24" s="718"/>
      <c r="Q24" s="718"/>
      <c r="R24" s="718"/>
      <c r="S24" s="718"/>
      <c r="T24" s="718"/>
      <c r="U24" s="642">
        <f t="shared" si="3"/>
        <v>3</v>
      </c>
    </row>
    <row r="25" spans="1:21" ht="15.75" thickBot="1" x14ac:dyDescent="0.3">
      <c r="A25" s="651">
        <v>44189</v>
      </c>
      <c r="B25" s="657" t="str">
        <f t="shared" si="0"/>
        <v>Čt</v>
      </c>
      <c r="C25" s="729">
        <f>Tabulka41428[[#This Row],[DO]]-Tabulka41428[[#This Row],[OD]]</f>
        <v>0</v>
      </c>
      <c r="D25" s="743">
        <f t="shared" si="1"/>
        <v>0</v>
      </c>
      <c r="E25" s="724"/>
      <c r="F25" s="727"/>
      <c r="G25" s="654"/>
      <c r="H25" s="657"/>
      <c r="I25" s="654"/>
      <c r="J25" s="657"/>
      <c r="K25" s="654"/>
      <c r="L25" s="657" t="s">
        <v>16</v>
      </c>
      <c r="M25" s="714">
        <v>0</v>
      </c>
      <c r="N25" s="711" t="s">
        <v>284</v>
      </c>
      <c r="O25" s="646"/>
      <c r="P25" s="718"/>
      <c r="Q25" s="718"/>
      <c r="R25" s="718"/>
      <c r="S25" s="718"/>
      <c r="T25" s="718"/>
      <c r="U25" s="642">
        <f t="shared" si="3"/>
        <v>4</v>
      </c>
    </row>
    <row r="26" spans="1:21" ht="15.75" thickBot="1" x14ac:dyDescent="0.3">
      <c r="A26" s="651">
        <v>44190</v>
      </c>
      <c r="B26" s="657" t="str">
        <f t="shared" si="0"/>
        <v>Pá</v>
      </c>
      <c r="C26" s="729">
        <f>Tabulka41428[[#This Row],[DO]]-Tabulka41428[[#This Row],[OD]]</f>
        <v>0</v>
      </c>
      <c r="D26" s="743">
        <f t="shared" si="1"/>
        <v>0</v>
      </c>
      <c r="E26" s="724"/>
      <c r="F26" s="727"/>
      <c r="G26" s="654"/>
      <c r="H26" s="657"/>
      <c r="I26" s="654"/>
      <c r="J26" s="657"/>
      <c r="K26" s="654"/>
      <c r="L26" s="657" t="s">
        <v>16</v>
      </c>
      <c r="M26" s="714">
        <v>0</v>
      </c>
      <c r="N26" s="739">
        <v>55585</v>
      </c>
      <c r="O26" s="740">
        <f>N26-Q6</f>
        <v>55585</v>
      </c>
      <c r="P26" s="718"/>
      <c r="Q26" s="718"/>
      <c r="R26" s="718"/>
      <c r="S26" s="718"/>
      <c r="T26" s="718"/>
      <c r="U26" s="642">
        <f t="shared" si="3"/>
        <v>5</v>
      </c>
    </row>
    <row r="27" spans="1:21" ht="15.75" thickBot="1" x14ac:dyDescent="0.3">
      <c r="A27" s="651">
        <v>44191</v>
      </c>
      <c r="B27" s="657" t="str">
        <f t="shared" si="0"/>
        <v>So</v>
      </c>
      <c r="C27" s="729">
        <f>Tabulka41428[[#This Row],[DO]]-Tabulka41428[[#This Row],[OD]]</f>
        <v>0</v>
      </c>
      <c r="D27" s="743">
        <f t="shared" si="1"/>
        <v>0</v>
      </c>
      <c r="E27" s="724"/>
      <c r="F27" s="727"/>
      <c r="G27" s="654"/>
      <c r="H27" s="657"/>
      <c r="I27" s="654"/>
      <c r="J27" s="657"/>
      <c r="K27" s="654"/>
      <c r="L27" s="657" t="s">
        <v>16</v>
      </c>
      <c r="M27" s="714">
        <v>0</v>
      </c>
      <c r="N27" s="711" t="s">
        <v>283</v>
      </c>
      <c r="O27" s="646"/>
      <c r="P27" s="718"/>
      <c r="Q27" s="718"/>
      <c r="R27" s="718"/>
      <c r="S27" s="718"/>
      <c r="T27" s="718"/>
      <c r="U27" s="642">
        <f t="shared" si="3"/>
        <v>6</v>
      </c>
    </row>
    <row r="28" spans="1:21" ht="15.75" thickBot="1" x14ac:dyDescent="0.3">
      <c r="A28" s="651">
        <v>44192</v>
      </c>
      <c r="B28" s="657" t="str">
        <f t="shared" si="0"/>
        <v>Ne</v>
      </c>
      <c r="C28" s="729">
        <f>Tabulka41428[[#This Row],[DO]]-Tabulka41428[[#This Row],[OD]]</f>
        <v>0</v>
      </c>
      <c r="D28" s="743">
        <f>M28*C28</f>
        <v>0</v>
      </c>
      <c r="E28" s="724"/>
      <c r="F28" s="727"/>
      <c r="G28" s="654"/>
      <c r="H28" s="657"/>
      <c r="I28" s="654"/>
      <c r="J28" s="657"/>
      <c r="K28" s="654"/>
      <c r="L28" s="657" t="s">
        <v>16</v>
      </c>
      <c r="M28" s="714">
        <v>0</v>
      </c>
      <c r="N28" s="739">
        <v>41578</v>
      </c>
      <c r="O28" s="646"/>
      <c r="P28" s="718"/>
      <c r="Q28" s="718"/>
      <c r="R28" s="718"/>
      <c r="S28" s="718"/>
      <c r="T28" s="718"/>
      <c r="U28" s="642">
        <f t="shared" si="3"/>
        <v>7</v>
      </c>
    </row>
    <row r="29" spans="1:21" ht="15.75" thickBot="1" x14ac:dyDescent="0.3">
      <c r="A29" s="651">
        <v>44193</v>
      </c>
      <c r="B29" s="657" t="str">
        <f t="shared" si="0"/>
        <v>Po</v>
      </c>
      <c r="C29" s="729">
        <f>Tabulka41428[[#This Row],[DO]]-Tabulka41428[[#This Row],[OD]]</f>
        <v>0</v>
      </c>
      <c r="D29" s="743">
        <f t="shared" si="1"/>
        <v>0</v>
      </c>
      <c r="E29" s="724"/>
      <c r="F29" s="727"/>
      <c r="G29" s="654"/>
      <c r="H29" s="657"/>
      <c r="I29" s="654"/>
      <c r="J29" s="657"/>
      <c r="K29" s="654"/>
      <c r="L29" s="657" t="s">
        <v>16</v>
      </c>
      <c r="M29" s="714">
        <v>0</v>
      </c>
      <c r="N29" s="712" t="s">
        <v>230</v>
      </c>
      <c r="O29" s="648"/>
      <c r="P29" s="718"/>
      <c r="Q29" s="718"/>
      <c r="R29" s="718"/>
      <c r="S29" s="718"/>
      <c r="T29" s="718"/>
      <c r="U29" s="642">
        <f t="shared" si="3"/>
        <v>1</v>
      </c>
    </row>
    <row r="30" spans="1:21" ht="15.75" thickBot="1" x14ac:dyDescent="0.3">
      <c r="A30" s="651">
        <v>44194</v>
      </c>
      <c r="B30" s="657" t="str">
        <f t="shared" si="0"/>
        <v>Út</v>
      </c>
      <c r="C30" s="729">
        <f>Tabulka41428[[#This Row],[DO]]-Tabulka41428[[#This Row],[OD]]</f>
        <v>0</v>
      </c>
      <c r="D30" s="743">
        <f t="shared" si="1"/>
        <v>0</v>
      </c>
      <c r="E30" s="724"/>
      <c r="F30" s="727"/>
      <c r="G30" s="654"/>
      <c r="H30" s="657"/>
      <c r="I30" s="654"/>
      <c r="J30" s="657"/>
      <c r="K30" s="654"/>
      <c r="L30" s="657" t="s">
        <v>16</v>
      </c>
      <c r="M30" s="708">
        <v>0</v>
      </c>
      <c r="N30" s="715"/>
      <c r="O30" s="720"/>
      <c r="P30" s="718"/>
      <c r="Q30" s="718"/>
      <c r="R30" s="718"/>
      <c r="S30" s="718"/>
      <c r="T30" s="718"/>
      <c r="U30" s="642">
        <f t="shared" si="3"/>
        <v>2</v>
      </c>
    </row>
    <row r="31" spans="1:21" ht="15.75" thickBot="1" x14ac:dyDescent="0.3">
      <c r="A31" s="651">
        <v>44195</v>
      </c>
      <c r="B31" s="657" t="str">
        <f t="shared" si="0"/>
        <v>St</v>
      </c>
      <c r="C31" s="729">
        <f>Tabulka41428[[#This Row],[DO]]-Tabulka41428[[#This Row],[OD]]</f>
        <v>0</v>
      </c>
      <c r="D31" s="743">
        <f t="shared" si="1"/>
        <v>0</v>
      </c>
      <c r="E31" s="724"/>
      <c r="F31" s="727"/>
      <c r="G31" s="654"/>
      <c r="H31" s="657"/>
      <c r="I31" s="654"/>
      <c r="J31" s="657"/>
      <c r="K31" s="654"/>
      <c r="L31" s="657" t="s">
        <v>16</v>
      </c>
      <c r="M31" s="708">
        <v>0</v>
      </c>
      <c r="N31" s="649"/>
      <c r="O31" s="646"/>
      <c r="P31" s="718"/>
      <c r="Q31" s="718"/>
      <c r="R31" s="718"/>
      <c r="S31" s="718"/>
      <c r="T31" s="718"/>
      <c r="U31" s="642">
        <f t="shared" si="3"/>
        <v>3</v>
      </c>
    </row>
    <row r="32" spans="1:21" ht="15.75" thickBot="1" x14ac:dyDescent="0.3">
      <c r="A32" s="651">
        <v>44196</v>
      </c>
      <c r="B32" s="657" t="str">
        <f t="shared" si="0"/>
        <v>Čt</v>
      </c>
      <c r="C32" s="729">
        <f>Tabulka41428[[#This Row],[DO]]-Tabulka41428[[#This Row],[OD]]</f>
        <v>0</v>
      </c>
      <c r="D32" s="743">
        <f t="shared" si="1"/>
        <v>0</v>
      </c>
      <c r="E32" s="724"/>
      <c r="F32" s="727"/>
      <c r="G32" s="654"/>
      <c r="H32" s="657"/>
      <c r="I32" s="654"/>
      <c r="J32" s="657"/>
      <c r="K32" s="654"/>
      <c r="L32" s="657" t="s">
        <v>16</v>
      </c>
      <c r="M32" s="708">
        <v>0</v>
      </c>
      <c r="N32" s="649"/>
      <c r="O32" s="646"/>
      <c r="P32" s="718"/>
      <c r="Q32" s="718"/>
      <c r="R32" s="718"/>
      <c r="S32" s="718"/>
      <c r="T32" s="718"/>
      <c r="U32" s="642">
        <f t="shared" si="3"/>
        <v>4</v>
      </c>
    </row>
    <row r="33" spans="1:21" ht="15.75" thickBot="1" x14ac:dyDescent="0.3">
      <c r="A33" s="651">
        <v>44197</v>
      </c>
      <c r="B33" s="657" t="str">
        <f t="shared" si="0"/>
        <v>Pá</v>
      </c>
      <c r="C33" s="729">
        <f>Tabulka41428[[#This Row],[DO]]-Tabulka41428[[#This Row],[OD]]</f>
        <v>0</v>
      </c>
      <c r="D33" s="743">
        <f t="shared" si="1"/>
        <v>0</v>
      </c>
      <c r="E33" s="724"/>
      <c r="F33" s="727"/>
      <c r="G33" s="654"/>
      <c r="H33" s="657"/>
      <c r="I33" s="654"/>
      <c r="J33" s="657"/>
      <c r="K33" s="654"/>
      <c r="L33" s="657"/>
      <c r="M33" s="708"/>
      <c r="N33" s="649"/>
      <c r="O33" s="646"/>
      <c r="P33" s="718"/>
      <c r="Q33" s="718"/>
      <c r="R33" s="718"/>
      <c r="S33" s="718"/>
      <c r="T33" s="718"/>
      <c r="U33" s="642">
        <f>WEEKDAY(A33,2)</f>
        <v>5</v>
      </c>
    </row>
    <row r="34" spans="1:21" ht="15.75" thickBot="1" x14ac:dyDescent="0.3">
      <c r="A34" s="651">
        <v>44198</v>
      </c>
      <c r="B34" s="657" t="str">
        <f t="shared" si="0"/>
        <v>So</v>
      </c>
      <c r="C34" s="729">
        <f>Tabulka41428[[#This Row],[DO]]-Tabulka41428[[#This Row],[OD]]</f>
        <v>0</v>
      </c>
      <c r="D34" s="743">
        <f t="shared" si="1"/>
        <v>0</v>
      </c>
      <c r="E34" s="724"/>
      <c r="F34" s="727"/>
      <c r="G34" s="654"/>
      <c r="H34" s="657"/>
      <c r="I34" s="654"/>
      <c r="J34" s="657"/>
      <c r="K34" s="654"/>
      <c r="L34" s="657"/>
      <c r="M34" s="708"/>
      <c r="N34" s="649"/>
      <c r="O34" s="646"/>
      <c r="P34" s="718"/>
      <c r="Q34" s="718"/>
      <c r="R34" s="718"/>
      <c r="S34" s="718"/>
      <c r="T34" s="718"/>
      <c r="U34" s="642">
        <f t="shared" ref="U34:U35" si="5">WEEKDAY(A34,2)</f>
        <v>6</v>
      </c>
    </row>
    <row r="35" spans="1:21" ht="15.75" thickBot="1" x14ac:dyDescent="0.3">
      <c r="A35" s="651">
        <v>44199</v>
      </c>
      <c r="B35" s="658" t="str">
        <f t="shared" si="0"/>
        <v>Ne</v>
      </c>
      <c r="C35" s="730">
        <f>Tabulka41428[[#This Row],[DO]]-Tabulka41428[[#This Row],[OD]]</f>
        <v>0</v>
      </c>
      <c r="D35" s="746">
        <f t="shared" si="1"/>
        <v>0</v>
      </c>
      <c r="E35" s="725"/>
      <c r="F35" s="728"/>
      <c r="G35" s="655"/>
      <c r="H35" s="658"/>
      <c r="I35" s="655"/>
      <c r="J35" s="658"/>
      <c r="K35" s="655"/>
      <c r="L35" s="658"/>
      <c r="M35" s="709"/>
      <c r="N35" s="652"/>
      <c r="O35" s="648"/>
      <c r="P35" s="718"/>
      <c r="Q35" s="718"/>
      <c r="R35" s="718"/>
      <c r="S35" s="718"/>
      <c r="T35" s="718"/>
      <c r="U35" s="642">
        <f t="shared" si="5"/>
        <v>7</v>
      </c>
    </row>
    <row r="36" spans="1:21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</row>
    <row r="38" spans="1:21" x14ac:dyDescent="0.25">
      <c r="E38" s="731"/>
      <c r="N38" s="731"/>
    </row>
    <row r="39" spans="1:21" x14ac:dyDescent="0.25">
      <c r="C39" s="733"/>
      <c r="E39" s="732"/>
    </row>
    <row r="40" spans="1:21" x14ac:dyDescent="0.25">
      <c r="N40" s="744"/>
    </row>
    <row r="42" spans="1:21" x14ac:dyDescent="0.25">
      <c r="N42" s="736">
        <f>N2*24*10</f>
        <v>0</v>
      </c>
    </row>
    <row r="43" spans="1:21" x14ac:dyDescent="0.25">
      <c r="N43" s="737"/>
    </row>
    <row r="45" spans="1:21" x14ac:dyDescent="0.25">
      <c r="C45" s="731"/>
    </row>
  </sheetData>
  <pageMargins left="0.7" right="0.7" top="0.75" bottom="0.75" header="0.3" footer="0.3"/>
  <tableParts count="1">
    <tablePart r:id="rId1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F8159D-0085-DC4B-8596-6A63278632DD}">
  <dimension ref="A1:U45"/>
  <sheetViews>
    <sheetView topLeftCell="A6" zoomScaleNormal="60" zoomScaleSheetLayoutView="100" workbookViewId="0">
      <selection activeCell="C30" sqref="C30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7.7109375" bestFit="1" customWidth="1"/>
    <col min="4" max="5" width="8.140625" bestFit="1" customWidth="1"/>
    <col min="6" max="6" width="6.42578125" bestFit="1" customWidth="1"/>
    <col min="7" max="7" width="10" bestFit="1" customWidth="1"/>
    <col min="8" max="8" width="9.42578125" bestFit="1" customWidth="1"/>
    <col min="9" max="9" width="8" bestFit="1" customWidth="1"/>
    <col min="10" max="10" width="14.85546875" bestFit="1" customWidth="1"/>
    <col min="11" max="11" width="10.42578125" bestFit="1" customWidth="1"/>
    <col min="12" max="12" width="8.7109375" bestFit="1" customWidth="1"/>
    <col min="13" max="13" width="8.42578125" bestFit="1" customWidth="1"/>
    <col min="14" max="16" width="20.140625" bestFit="1" customWidth="1"/>
    <col min="17" max="17" width="8.7109375" bestFit="1" customWidth="1"/>
    <col min="18" max="18" width="13" bestFit="1" customWidth="1"/>
    <col min="19" max="19" width="10.42578125" bestFit="1" customWidth="1"/>
    <col min="20" max="20" width="10.28515625" bestFit="1" customWidth="1"/>
    <col min="21" max="21" width="8.5703125" style="643"/>
  </cols>
  <sheetData>
    <row r="1" spans="1:21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285</v>
      </c>
      <c r="G1" s="650" t="s">
        <v>4</v>
      </c>
      <c r="H1" s="650" t="s">
        <v>5</v>
      </c>
      <c r="I1" s="650" t="s">
        <v>6</v>
      </c>
      <c r="J1" s="650" t="s">
        <v>7</v>
      </c>
      <c r="K1" s="650" t="s">
        <v>265</v>
      </c>
      <c r="L1" s="650" t="s">
        <v>8</v>
      </c>
      <c r="M1" s="650" t="s">
        <v>129</v>
      </c>
      <c r="N1" s="650" t="s">
        <v>9</v>
      </c>
      <c r="O1" s="650" t="s">
        <v>155</v>
      </c>
      <c r="P1" s="650" t="s">
        <v>10</v>
      </c>
      <c r="Q1" s="650" t="s">
        <v>11</v>
      </c>
      <c r="R1" s="650" t="s">
        <v>12</v>
      </c>
      <c r="S1" s="650" t="s">
        <v>13</v>
      </c>
      <c r="T1" s="650" t="s">
        <v>14</v>
      </c>
      <c r="U1" s="642"/>
    </row>
    <row r="2" spans="1:21" ht="15.75" thickBot="1" x14ac:dyDescent="0.3">
      <c r="A2" s="651">
        <v>44197</v>
      </c>
      <c r="B2" s="656" t="str">
        <f t="shared" ref="B2:B35" si="0">CHOOSE(WEEKDAY(U2),"Po","Út","St","Čt","Pá","So","Ne")</f>
        <v>Pá</v>
      </c>
      <c r="C2" s="748">
        <f>Tabulka414[[#This Row],[DO]]-Tabulka414[[#This Row],[OD]]-TIME(0,30,0)</f>
        <v>-2.0833333333333332E-2</v>
      </c>
      <c r="D2" s="745">
        <f t="shared" ref="D2:D35" si="1">M2*C2</f>
        <v>0</v>
      </c>
      <c r="E2" s="723"/>
      <c r="F2" s="726"/>
      <c r="G2" s="653"/>
      <c r="H2" s="656"/>
      <c r="I2" s="653"/>
      <c r="J2" s="656"/>
      <c r="K2" s="653"/>
      <c r="L2" s="656" t="s">
        <v>16</v>
      </c>
      <c r="M2" s="713">
        <v>0</v>
      </c>
      <c r="N2" s="734">
        <f>(N4+N6)</f>
        <v>8.8229166666666679</v>
      </c>
      <c r="O2" s="716">
        <f t="shared" ref="O2" si="2">O4+O6</f>
        <v>208</v>
      </c>
      <c r="P2" s="833">
        <v>29937</v>
      </c>
      <c r="Q2" s="644" t="s">
        <v>17</v>
      </c>
      <c r="R2" s="644" t="s">
        <v>312</v>
      </c>
      <c r="S2" s="645" t="s">
        <v>227</v>
      </c>
      <c r="T2" s="830">
        <f t="shared" ref="T2:T35" si="3">(N6*24*20)</f>
        <v>89.999999999999986</v>
      </c>
      <c r="U2" s="642">
        <f t="shared" ref="U2:U32" si="4">WEEKDAY(A2,2)</f>
        <v>5</v>
      </c>
    </row>
    <row r="3" spans="1:21" ht="15.75" thickBot="1" x14ac:dyDescent="0.3">
      <c r="A3" s="651">
        <v>44198</v>
      </c>
      <c r="B3" s="657" t="str">
        <f t="shared" si="0"/>
        <v>So</v>
      </c>
      <c r="C3" s="748">
        <f>Tabulka414[[#This Row],[DO]]-Tabulka414[[#This Row],[OD]]-TIME(0,30,0)</f>
        <v>-2.0833333333333332E-2</v>
      </c>
      <c r="D3" s="743">
        <f t="shared" si="1"/>
        <v>0</v>
      </c>
      <c r="E3" s="724"/>
      <c r="F3" s="727"/>
      <c r="G3" s="654"/>
      <c r="H3" s="657"/>
      <c r="I3" s="654"/>
      <c r="J3" s="657"/>
      <c r="K3" s="654"/>
      <c r="L3" s="657" t="s">
        <v>16</v>
      </c>
      <c r="M3" s="714">
        <v>0</v>
      </c>
      <c r="N3" s="711" t="s">
        <v>19</v>
      </c>
      <c r="O3" s="717" t="s">
        <v>19</v>
      </c>
      <c r="P3" s="739">
        <v>0</v>
      </c>
      <c r="Q3" s="611" t="s">
        <v>17</v>
      </c>
      <c r="R3" s="611" t="s">
        <v>210</v>
      </c>
      <c r="S3" s="646">
        <v>44054</v>
      </c>
      <c r="T3" s="829" t="e">
        <f t="shared" si="3"/>
        <v>#VALUE!</v>
      </c>
      <c r="U3" s="642">
        <f t="shared" si="4"/>
        <v>6</v>
      </c>
    </row>
    <row r="4" spans="1:21" ht="15.75" thickBot="1" x14ac:dyDescent="0.3">
      <c r="A4" s="651">
        <v>44199</v>
      </c>
      <c r="B4" s="657" t="str">
        <f t="shared" si="0"/>
        <v>Ne</v>
      </c>
      <c r="C4" s="748">
        <f>Tabulka414[[#This Row],[DO]]-Tabulka414[[#This Row],[OD]]-TIME(0,30,0)</f>
        <v>-2.0833333333333332E-2</v>
      </c>
      <c r="D4" s="743">
        <f t="shared" si="1"/>
        <v>0</v>
      </c>
      <c r="E4" s="724"/>
      <c r="F4" s="727"/>
      <c r="G4" s="654"/>
      <c r="H4" s="657"/>
      <c r="I4" s="654"/>
      <c r="J4" s="657"/>
      <c r="K4" s="654"/>
      <c r="L4" s="657" t="s">
        <v>16</v>
      </c>
      <c r="M4" s="714">
        <v>0</v>
      </c>
      <c r="N4" s="735">
        <f>SUM(C7:C32)</f>
        <v>8.6354166666666679</v>
      </c>
      <c r="O4" s="717">
        <v>203</v>
      </c>
      <c r="P4" s="739">
        <v>0</v>
      </c>
      <c r="Q4" s="611" t="s">
        <v>17</v>
      </c>
      <c r="R4" s="611" t="s">
        <v>210</v>
      </c>
      <c r="S4" s="646"/>
      <c r="T4" s="829" t="e">
        <f t="shared" si="3"/>
        <v>#VALUE!</v>
      </c>
      <c r="U4" s="642">
        <f t="shared" si="4"/>
        <v>7</v>
      </c>
    </row>
    <row r="5" spans="1:21" ht="15.75" thickBot="1" x14ac:dyDescent="0.3">
      <c r="A5" s="651">
        <v>44200</v>
      </c>
      <c r="B5" s="657" t="str">
        <f t="shared" si="0"/>
        <v>Po</v>
      </c>
      <c r="C5" s="748">
        <f>Tabulka414[[#This Row],[DO]]-Tabulka414[[#This Row],[OD]]-TIME(0,30,0)</f>
        <v>-2.0833333333333332E-2</v>
      </c>
      <c r="D5" s="743">
        <f t="shared" si="1"/>
        <v>0</v>
      </c>
      <c r="E5" s="724"/>
      <c r="F5" s="727"/>
      <c r="G5" s="654"/>
      <c r="H5" s="657"/>
      <c r="I5" s="654"/>
      <c r="J5" s="657"/>
      <c r="K5" s="654"/>
      <c r="L5" s="657" t="s">
        <v>16</v>
      </c>
      <c r="M5" s="714">
        <v>0</v>
      </c>
      <c r="N5" s="711" t="s">
        <v>14</v>
      </c>
      <c r="O5" s="717" t="s">
        <v>14</v>
      </c>
      <c r="P5" s="739">
        <v>47293</v>
      </c>
      <c r="Q5" s="611" t="s">
        <v>17</v>
      </c>
      <c r="R5" s="611" t="s">
        <v>311</v>
      </c>
      <c r="S5" s="646" t="s">
        <v>225</v>
      </c>
      <c r="T5" s="829" t="e">
        <f t="shared" si="3"/>
        <v>#VALUE!</v>
      </c>
      <c r="U5" s="642">
        <f t="shared" si="4"/>
        <v>1</v>
      </c>
    </row>
    <row r="6" spans="1:21" ht="15.75" thickBot="1" x14ac:dyDescent="0.3">
      <c r="A6" s="651">
        <v>44201</v>
      </c>
      <c r="B6" s="657" t="str">
        <f t="shared" si="0"/>
        <v>Út</v>
      </c>
      <c r="C6" s="748">
        <f>Tabulka414[[#This Row],[DO]]-Tabulka414[[#This Row],[OD]]-TIME(0,30,0)</f>
        <v>0.18749999999999997</v>
      </c>
      <c r="D6" s="743">
        <f t="shared" si="1"/>
        <v>0.74999999999999989</v>
      </c>
      <c r="E6" s="724">
        <v>0.41666666666666669</v>
      </c>
      <c r="F6" s="727">
        <v>0.625</v>
      </c>
      <c r="G6" s="654"/>
      <c r="H6" s="657" t="s">
        <v>289</v>
      </c>
      <c r="I6" s="654" t="s">
        <v>112</v>
      </c>
      <c r="J6" s="657" t="s">
        <v>113</v>
      </c>
      <c r="K6" s="654" t="s">
        <v>287</v>
      </c>
      <c r="L6" s="657" t="s">
        <v>288</v>
      </c>
      <c r="M6" s="714">
        <v>4</v>
      </c>
      <c r="N6" s="735">
        <f>C6</f>
        <v>0.18749999999999997</v>
      </c>
      <c r="O6" s="717">
        <v>5</v>
      </c>
      <c r="P6" s="712" t="s">
        <v>228</v>
      </c>
      <c r="Q6" s="647"/>
      <c r="R6" s="647" t="s">
        <v>48</v>
      </c>
      <c r="S6" s="648"/>
      <c r="T6" s="829">
        <f t="shared" si="3"/>
        <v>36633600.000000007</v>
      </c>
      <c r="U6" s="642">
        <f t="shared" si="4"/>
        <v>2</v>
      </c>
    </row>
    <row r="7" spans="1:21" ht="15.75" thickBot="1" x14ac:dyDescent="0.3">
      <c r="A7" s="651">
        <v>44202</v>
      </c>
      <c r="B7" s="657" t="str">
        <f t="shared" si="0"/>
        <v>St</v>
      </c>
      <c r="C7" s="748">
        <f>Tabulka414[[#This Row],[DO]]-Tabulka414[[#This Row],[OD]]-TIME(0,30,0)</f>
        <v>0.47916666666666663</v>
      </c>
      <c r="D7" s="743">
        <f t="shared" si="1"/>
        <v>1.9166666666666665</v>
      </c>
      <c r="E7" s="724">
        <v>0.29166666666666669</v>
      </c>
      <c r="F7" s="727">
        <v>0.79166666666666663</v>
      </c>
      <c r="G7" s="654"/>
      <c r="H7" s="657" t="s">
        <v>290</v>
      </c>
      <c r="I7" s="654" t="s">
        <v>112</v>
      </c>
      <c r="J7" s="657" t="s">
        <v>113</v>
      </c>
      <c r="K7" s="654" t="s">
        <v>287</v>
      </c>
      <c r="L7" s="657" t="s">
        <v>288</v>
      </c>
      <c r="M7" s="714">
        <v>4</v>
      </c>
      <c r="N7" s="711" t="s">
        <v>20</v>
      </c>
      <c r="O7" s="646" t="s">
        <v>20</v>
      </c>
      <c r="P7" s="721">
        <f>P3+P4</f>
        <v>0</v>
      </c>
      <c r="Q7" s="718"/>
      <c r="R7" s="718"/>
      <c r="S7" s="718"/>
      <c r="T7" s="829" t="e">
        <f t="shared" si="3"/>
        <v>#VALUE!</v>
      </c>
      <c r="U7" s="642">
        <f t="shared" si="4"/>
        <v>3</v>
      </c>
    </row>
    <row r="8" spans="1:21" ht="15.75" thickBot="1" x14ac:dyDescent="0.3">
      <c r="A8" s="651">
        <v>44203</v>
      </c>
      <c r="B8" s="657" t="str">
        <f t="shared" si="0"/>
        <v>Čt</v>
      </c>
      <c r="C8" s="748">
        <f>Tabulka414[[#This Row],[DO]]-Tabulka414[[#This Row],[OD]]-TIME(0,30,0)</f>
        <v>0.51041666666666663</v>
      </c>
      <c r="D8" s="743">
        <f t="shared" si="1"/>
        <v>2.0416666666666665</v>
      </c>
      <c r="E8" s="724">
        <v>0.29166666666666669</v>
      </c>
      <c r="F8" s="727">
        <v>0.82291666666666663</v>
      </c>
      <c r="G8" s="654"/>
      <c r="H8" s="657" t="s">
        <v>290</v>
      </c>
      <c r="I8" s="654" t="s">
        <v>112</v>
      </c>
      <c r="J8" s="657" t="s">
        <v>113</v>
      </c>
      <c r="K8" s="654" t="s">
        <v>287</v>
      </c>
      <c r="L8" s="657" t="s">
        <v>288</v>
      </c>
      <c r="M8" s="714">
        <v>4</v>
      </c>
      <c r="N8" s="711" t="s">
        <v>22</v>
      </c>
      <c r="O8" s="646" t="s">
        <v>22</v>
      </c>
      <c r="P8" s="657" t="s">
        <v>229</v>
      </c>
      <c r="Q8" s="718"/>
      <c r="R8" s="718"/>
      <c r="S8" s="718"/>
      <c r="T8" s="829">
        <f t="shared" si="3"/>
        <v>32059680.000000007</v>
      </c>
      <c r="U8" s="642">
        <f t="shared" si="4"/>
        <v>4</v>
      </c>
    </row>
    <row r="9" spans="1:21" ht="15.75" thickBot="1" x14ac:dyDescent="0.3">
      <c r="A9" s="651">
        <v>44204</v>
      </c>
      <c r="B9" s="657" t="str">
        <f t="shared" si="0"/>
        <v>Pá</v>
      </c>
      <c r="C9" s="748">
        <f>Tabulka414[[#This Row],[DO]]-Tabulka414[[#This Row],[OD]]-TIME(0,30,0)</f>
        <v>0.47916666666666663</v>
      </c>
      <c r="D9" s="743">
        <f t="shared" si="1"/>
        <v>2.395833333333333</v>
      </c>
      <c r="E9" s="724">
        <v>0.29166666666666669</v>
      </c>
      <c r="F9" s="727">
        <v>0.79166666666666663</v>
      </c>
      <c r="G9" s="654"/>
      <c r="H9" s="657"/>
      <c r="I9" s="654"/>
      <c r="J9" s="657"/>
      <c r="K9" s="654"/>
      <c r="L9" s="657" t="s">
        <v>16</v>
      </c>
      <c r="M9" s="714">
        <v>5</v>
      </c>
      <c r="N9" s="711" t="s">
        <v>23</v>
      </c>
      <c r="O9" s="646" t="s">
        <v>23</v>
      </c>
      <c r="P9" s="657">
        <f>SUM(P2:P4)</f>
        <v>29937</v>
      </c>
      <c r="Q9" s="718"/>
      <c r="R9" s="718"/>
      <c r="S9" s="718"/>
      <c r="T9" s="829" t="e">
        <f t="shared" si="3"/>
        <v>#VALUE!</v>
      </c>
      <c r="U9" s="642">
        <f t="shared" si="4"/>
        <v>5</v>
      </c>
    </row>
    <row r="10" spans="1:21" ht="15.75" thickBot="1" x14ac:dyDescent="0.3">
      <c r="A10" s="651">
        <v>44205</v>
      </c>
      <c r="B10" s="657" t="str">
        <f t="shared" si="0"/>
        <v>So</v>
      </c>
      <c r="C10" s="748">
        <f>Tabulka414[[#This Row],[DO]]-Tabulka414[[#This Row],[OD]]-TIME(0,30,0)</f>
        <v>0.33333333333333337</v>
      </c>
      <c r="D10" s="743">
        <f t="shared" si="1"/>
        <v>0</v>
      </c>
      <c r="E10" s="724">
        <v>0.29166666666666669</v>
      </c>
      <c r="F10" s="727">
        <v>0.64583333333333337</v>
      </c>
      <c r="G10" s="654"/>
      <c r="H10" s="657"/>
      <c r="I10" s="654"/>
      <c r="J10" s="657"/>
      <c r="K10" s="654"/>
      <c r="L10" s="657" t="s">
        <v>16</v>
      </c>
      <c r="M10" s="714">
        <v>0</v>
      </c>
      <c r="N10" s="738">
        <f>(N2*24*360)+T2</f>
        <v>76320.000000000015</v>
      </c>
      <c r="O10" s="740">
        <f>SUM(O2*360)</f>
        <v>74880</v>
      </c>
      <c r="P10" s="719"/>
      <c r="Q10" s="718"/>
      <c r="R10" s="718"/>
      <c r="S10" s="718"/>
      <c r="T10" s="829">
        <f t="shared" si="3"/>
        <v>4995840</v>
      </c>
      <c r="U10" s="642">
        <f t="shared" si="4"/>
        <v>6</v>
      </c>
    </row>
    <row r="11" spans="1:21" ht="15.75" thickBot="1" x14ac:dyDescent="0.3">
      <c r="A11" s="651">
        <v>44206</v>
      </c>
      <c r="B11" s="657" t="str">
        <f t="shared" si="0"/>
        <v>Ne</v>
      </c>
      <c r="C11" s="748">
        <f>Tabulka414[[#This Row],[DO]]-Tabulka414[[#This Row],[OD]]-TIME(0,30,0)</f>
        <v>-2.0833333333333332E-2</v>
      </c>
      <c r="D11" s="743">
        <f t="shared" si="1"/>
        <v>0</v>
      </c>
      <c r="E11" s="724"/>
      <c r="F11" s="727"/>
      <c r="G11" s="654"/>
      <c r="H11" s="657"/>
      <c r="I11" s="654"/>
      <c r="J11" s="657"/>
      <c r="K11" s="654"/>
      <c r="L11" s="657" t="s">
        <v>16</v>
      </c>
      <c r="M11" s="714">
        <v>0</v>
      </c>
      <c r="N11" s="711" t="s">
        <v>24</v>
      </c>
      <c r="O11" s="646" t="s">
        <v>24</v>
      </c>
      <c r="P11" s="718"/>
      <c r="Q11" s="718"/>
      <c r="R11" s="718"/>
      <c r="S11" s="718"/>
      <c r="T11" s="829" t="e">
        <f t="shared" si="3"/>
        <v>#VALUE!</v>
      </c>
      <c r="U11" s="642">
        <f t="shared" si="4"/>
        <v>7</v>
      </c>
    </row>
    <row r="12" spans="1:21" ht="15.75" thickBot="1" x14ac:dyDescent="0.3">
      <c r="A12" s="651">
        <v>44207</v>
      </c>
      <c r="B12" s="657" t="str">
        <f t="shared" si="0"/>
        <v>Po</v>
      </c>
      <c r="C12" s="748">
        <f>Tabulka414[[#This Row],[DO]]-Tabulka414[[#This Row],[OD]]-TIME(0,30,0)</f>
        <v>0.47916666666666663</v>
      </c>
      <c r="D12" s="743">
        <f t="shared" si="1"/>
        <v>2.395833333333333</v>
      </c>
      <c r="E12" s="724">
        <v>0.29166666666666669</v>
      </c>
      <c r="F12" s="727">
        <v>0.79166666666666663</v>
      </c>
      <c r="G12" s="654"/>
      <c r="H12" s="657"/>
      <c r="I12" s="654"/>
      <c r="J12" s="657"/>
      <c r="K12" s="654"/>
      <c r="L12" s="657" t="s">
        <v>16</v>
      </c>
      <c r="M12" s="714">
        <v>5</v>
      </c>
      <c r="N12" s="738">
        <f>(N10-N14+N18+N20-N22)</f>
        <v>66791.000000000015</v>
      </c>
      <c r="O12" s="747">
        <f>(O10+O18+O20-O22)-O14</f>
        <v>65351</v>
      </c>
      <c r="P12" s="718"/>
      <c r="Q12" s="718"/>
      <c r="R12" s="718"/>
      <c r="S12" s="718"/>
      <c r="T12" s="829">
        <f t="shared" si="3"/>
        <v>192000</v>
      </c>
      <c r="U12" s="642">
        <f t="shared" si="4"/>
        <v>1</v>
      </c>
    </row>
    <row r="13" spans="1:21" ht="15.75" thickBot="1" x14ac:dyDescent="0.3">
      <c r="A13" s="651">
        <v>44208</v>
      </c>
      <c r="B13" s="657" t="str">
        <f t="shared" si="0"/>
        <v>Út</v>
      </c>
      <c r="C13" s="748">
        <f>Tabulka414[[#This Row],[DO]]-Tabulka414[[#This Row],[OD]]-TIME(0,30,0)</f>
        <v>0.47916666666666663</v>
      </c>
      <c r="D13" s="743">
        <f t="shared" si="1"/>
        <v>2.395833333333333</v>
      </c>
      <c r="E13" s="724">
        <v>0.29166666666666669</v>
      </c>
      <c r="F13" s="727">
        <v>0.79166666666666663</v>
      </c>
      <c r="G13" s="654"/>
      <c r="H13" s="657"/>
      <c r="I13" s="654"/>
      <c r="J13" s="657"/>
      <c r="K13" s="654"/>
      <c r="L13" s="657" t="s">
        <v>16</v>
      </c>
      <c r="M13" s="714">
        <v>5</v>
      </c>
      <c r="N13" s="711" t="s">
        <v>26</v>
      </c>
      <c r="O13" s="747" t="s">
        <v>26</v>
      </c>
      <c r="P13" s="718"/>
      <c r="Q13" s="718"/>
      <c r="R13" s="718"/>
      <c r="S13" s="718"/>
      <c r="T13" s="829" t="e">
        <f t="shared" si="3"/>
        <v>#VALUE!</v>
      </c>
      <c r="U13" s="642">
        <f t="shared" si="4"/>
        <v>2</v>
      </c>
    </row>
    <row r="14" spans="1:21" ht="15.75" thickBot="1" x14ac:dyDescent="0.3">
      <c r="A14" s="651">
        <v>44209</v>
      </c>
      <c r="B14" s="657" t="str">
        <f t="shared" si="0"/>
        <v>St</v>
      </c>
      <c r="C14" s="748">
        <f>Tabulka414[[#This Row],[DO]]-Tabulka414[[#This Row],[OD]]-TIME(0,30,0)</f>
        <v>0.47916666666666663</v>
      </c>
      <c r="D14" s="743">
        <f t="shared" si="1"/>
        <v>2.395833333333333</v>
      </c>
      <c r="E14" s="724">
        <v>0.29166666666666669</v>
      </c>
      <c r="F14" s="727">
        <v>0.79166666666666663</v>
      </c>
      <c r="G14" s="654"/>
      <c r="H14" s="657"/>
      <c r="I14" s="654"/>
      <c r="J14" s="657"/>
      <c r="K14" s="654"/>
      <c r="L14" s="657" t="s">
        <v>16</v>
      </c>
      <c r="M14" s="714">
        <v>5</v>
      </c>
      <c r="N14" s="738">
        <f>(N16*26.02)</f>
        <v>10408</v>
      </c>
      <c r="O14" s="747">
        <f>(O16*26.02)</f>
        <v>10408</v>
      </c>
      <c r="P14" s="718"/>
      <c r="Q14" s="718"/>
      <c r="R14" s="718"/>
      <c r="S14" s="718"/>
      <c r="T14" s="829">
        <f t="shared" si="3"/>
        <v>421920</v>
      </c>
      <c r="U14" s="642">
        <f t="shared" si="4"/>
        <v>3</v>
      </c>
    </row>
    <row r="15" spans="1:21" ht="15.75" thickBot="1" x14ac:dyDescent="0.3">
      <c r="A15" s="651">
        <v>44210</v>
      </c>
      <c r="B15" s="657" t="str">
        <f t="shared" si="0"/>
        <v>Čt</v>
      </c>
      <c r="C15" s="748">
        <f>Tabulka414[[#This Row],[DO]]-Tabulka414[[#This Row],[OD]]-TIME(0,30,0)</f>
        <v>0.47916666666666663</v>
      </c>
      <c r="D15" s="743">
        <f t="shared" si="1"/>
        <v>2.395833333333333</v>
      </c>
      <c r="E15" s="724">
        <v>0.29166666666666669</v>
      </c>
      <c r="F15" s="727">
        <v>0.79166666666666663</v>
      </c>
      <c r="G15" s="654"/>
      <c r="H15" s="657"/>
      <c r="I15" s="654"/>
      <c r="J15" s="657"/>
      <c r="K15" s="654"/>
      <c r="L15" s="657" t="s">
        <v>16</v>
      </c>
      <c r="M15" s="714">
        <v>5</v>
      </c>
      <c r="N15" s="711" t="s">
        <v>29</v>
      </c>
      <c r="O15" s="646" t="s">
        <v>29</v>
      </c>
      <c r="P15" s="718"/>
      <c r="Q15" s="718"/>
      <c r="R15" s="718"/>
      <c r="S15" s="718"/>
      <c r="T15" s="829" t="e">
        <f t="shared" si="3"/>
        <v>#VALUE!</v>
      </c>
      <c r="U15" s="642">
        <f t="shared" si="4"/>
        <v>4</v>
      </c>
    </row>
    <row r="16" spans="1:21" ht="15.75" thickBot="1" x14ac:dyDescent="0.3">
      <c r="A16" s="651">
        <v>44211</v>
      </c>
      <c r="B16" s="657" t="str">
        <f t="shared" si="0"/>
        <v>Pá</v>
      </c>
      <c r="C16" s="748">
        <f>Tabulka414[[#This Row],[DO]]-Tabulka414[[#This Row],[OD]]-TIME(0,30,0)</f>
        <v>0.35416666666666674</v>
      </c>
      <c r="D16" s="743">
        <f t="shared" si="1"/>
        <v>1.7708333333333337</v>
      </c>
      <c r="E16" s="724">
        <v>0.33333333333333331</v>
      </c>
      <c r="F16" s="727">
        <v>0.70833333333333337</v>
      </c>
      <c r="G16" s="654"/>
      <c r="H16" s="657"/>
      <c r="I16" s="654"/>
      <c r="J16" s="657"/>
      <c r="K16" s="654"/>
      <c r="L16" s="657" t="s">
        <v>16</v>
      </c>
      <c r="M16" s="714">
        <v>5</v>
      </c>
      <c r="N16" s="741">
        <v>400</v>
      </c>
      <c r="O16" s="742">
        <v>400</v>
      </c>
      <c r="P16" s="718"/>
      <c r="Q16" s="718"/>
      <c r="R16" s="718"/>
      <c r="S16" s="718"/>
      <c r="T16" s="829">
        <f t="shared" si="3"/>
        <v>0</v>
      </c>
      <c r="U16" s="642">
        <f t="shared" si="4"/>
        <v>5</v>
      </c>
    </row>
    <row r="17" spans="1:21" ht="15.75" thickBot="1" x14ac:dyDescent="0.3">
      <c r="A17" s="651">
        <v>44212</v>
      </c>
      <c r="B17" s="657" t="str">
        <f t="shared" si="0"/>
        <v>So</v>
      </c>
      <c r="C17" s="748">
        <f>Tabulka414[[#This Row],[DO]]-Tabulka414[[#This Row],[OD]]-TIME(0,30,0)</f>
        <v>-2.0833333333333332E-2</v>
      </c>
      <c r="D17" s="743">
        <f t="shared" si="1"/>
        <v>0</v>
      </c>
      <c r="E17" s="724"/>
      <c r="F17" s="727"/>
      <c r="G17" s="654"/>
      <c r="H17" s="657"/>
      <c r="I17" s="654"/>
      <c r="J17" s="657"/>
      <c r="K17" s="654"/>
      <c r="L17" s="657" t="s">
        <v>16</v>
      </c>
      <c r="M17" s="714">
        <v>0</v>
      </c>
      <c r="N17" s="711" t="s">
        <v>31</v>
      </c>
      <c r="O17" s="646" t="s">
        <v>31</v>
      </c>
      <c r="P17" s="718"/>
      <c r="Q17" s="718"/>
      <c r="R17" s="718"/>
      <c r="S17" s="718"/>
      <c r="T17" s="829" t="e">
        <f t="shared" si="3"/>
        <v>#VALUE!</v>
      </c>
      <c r="U17" s="642">
        <f t="shared" si="4"/>
        <v>6</v>
      </c>
    </row>
    <row r="18" spans="1:21" ht="15.75" thickBot="1" x14ac:dyDescent="0.3">
      <c r="A18" s="651">
        <v>44213</v>
      </c>
      <c r="B18" s="657" t="str">
        <f t="shared" si="0"/>
        <v>Ne</v>
      </c>
      <c r="C18" s="748">
        <f>Tabulka414[[#This Row],[DO]]-Tabulka414[[#This Row],[OD]]-TIME(0,30,0)</f>
        <v>-2.0833333333333332E-2</v>
      </c>
      <c r="D18" s="743">
        <f t="shared" si="1"/>
        <v>0</v>
      </c>
      <c r="E18" s="724"/>
      <c r="F18" s="727"/>
      <c r="G18" s="654"/>
      <c r="H18" s="657"/>
      <c r="I18" s="654"/>
      <c r="J18" s="657"/>
      <c r="K18" s="654"/>
      <c r="L18" s="657" t="s">
        <v>16</v>
      </c>
      <c r="M18" s="714">
        <v>0</v>
      </c>
      <c r="N18" s="738">
        <v>879</v>
      </c>
      <c r="O18" s="747">
        <v>879</v>
      </c>
      <c r="P18" s="718"/>
      <c r="Q18" s="718"/>
      <c r="R18" s="718"/>
      <c r="S18" s="718"/>
      <c r="T18" s="829">
        <f t="shared" si="3"/>
        <v>0</v>
      </c>
      <c r="U18" s="642">
        <f t="shared" si="4"/>
        <v>7</v>
      </c>
    </row>
    <row r="19" spans="1:21" ht="15.75" thickBot="1" x14ac:dyDescent="0.3">
      <c r="A19" s="651">
        <v>44214</v>
      </c>
      <c r="B19" s="657" t="str">
        <f t="shared" si="0"/>
        <v>Po</v>
      </c>
      <c r="C19" s="748">
        <f>Tabulka414[[#This Row],[DO]]-Tabulka414[[#This Row],[OD]]-TIME(0,30,0)</f>
        <v>0.47916666666666663</v>
      </c>
      <c r="D19" s="743">
        <f t="shared" si="1"/>
        <v>2.395833333333333</v>
      </c>
      <c r="E19" s="724">
        <v>0.29166666666666669</v>
      </c>
      <c r="F19" s="727">
        <v>0.79166666666666663</v>
      </c>
      <c r="G19" s="654"/>
      <c r="H19" s="657"/>
      <c r="I19" s="654"/>
      <c r="J19" s="657"/>
      <c r="K19" s="654"/>
      <c r="L19" s="657" t="s">
        <v>16</v>
      </c>
      <c r="M19" s="714">
        <v>5</v>
      </c>
      <c r="N19" s="738" t="s">
        <v>33</v>
      </c>
      <c r="O19" s="747" t="s">
        <v>33</v>
      </c>
      <c r="P19" s="718"/>
      <c r="Q19" s="718"/>
      <c r="R19" s="718"/>
      <c r="S19" s="718"/>
      <c r="T19" s="829" t="e">
        <f t="shared" si="3"/>
        <v>#VALUE!</v>
      </c>
      <c r="U19" s="642">
        <f t="shared" si="4"/>
        <v>1</v>
      </c>
    </row>
    <row r="20" spans="1:21" ht="15.75" thickBot="1" x14ac:dyDescent="0.3">
      <c r="A20" s="651">
        <v>44215</v>
      </c>
      <c r="B20" s="657" t="str">
        <f t="shared" si="0"/>
        <v>Út</v>
      </c>
      <c r="C20" s="748">
        <f>Tabulka414[[#This Row],[DO]]-Tabulka414[[#This Row],[OD]]-TIME(0,30,0)</f>
        <v>0.47916666666666663</v>
      </c>
      <c r="D20" s="743">
        <f t="shared" si="1"/>
        <v>2.395833333333333</v>
      </c>
      <c r="E20" s="724">
        <v>0.29166666666666669</v>
      </c>
      <c r="F20" s="727">
        <v>0.79166666666666663</v>
      </c>
      <c r="G20" s="654"/>
      <c r="H20" s="657"/>
      <c r="I20" s="654"/>
      <c r="J20" s="657"/>
      <c r="K20" s="654"/>
      <c r="L20" s="657" t="s">
        <v>16</v>
      </c>
      <c r="M20" s="714">
        <v>5</v>
      </c>
      <c r="N20" s="738">
        <v>0</v>
      </c>
      <c r="O20" s="747">
        <v>0</v>
      </c>
      <c r="P20" s="718"/>
      <c r="Q20" s="718"/>
      <c r="R20" s="718"/>
      <c r="S20" s="718"/>
      <c r="T20" s="829">
        <f t="shared" si="3"/>
        <v>36039840.000000007</v>
      </c>
      <c r="U20" s="642">
        <f t="shared" si="4"/>
        <v>2</v>
      </c>
    </row>
    <row r="21" spans="1:21" ht="15.75" thickBot="1" x14ac:dyDescent="0.3">
      <c r="A21" s="651">
        <v>44216</v>
      </c>
      <c r="B21" s="657" t="str">
        <f t="shared" si="0"/>
        <v>St</v>
      </c>
      <c r="C21" s="748">
        <f>Tabulka414[[#This Row],[DO]]-Tabulka414[[#This Row],[OD]]-TIME(0,30,0)</f>
        <v>0.4375</v>
      </c>
      <c r="D21" s="743">
        <f t="shared" si="1"/>
        <v>2.1875</v>
      </c>
      <c r="E21" s="724">
        <v>0.33333333333333331</v>
      </c>
      <c r="F21" s="727">
        <v>0.79166666666666663</v>
      </c>
      <c r="G21" s="654"/>
      <c r="H21" s="657"/>
      <c r="I21" s="654"/>
      <c r="J21" s="657"/>
      <c r="K21" s="654"/>
      <c r="L21" s="657" t="s">
        <v>16</v>
      </c>
      <c r="M21" s="714">
        <v>5</v>
      </c>
      <c r="N21" s="738" t="s">
        <v>34</v>
      </c>
      <c r="O21" s="747" t="s">
        <v>34</v>
      </c>
      <c r="P21" s="718"/>
      <c r="Q21" s="718"/>
      <c r="R21" s="718"/>
      <c r="S21" s="718"/>
      <c r="T21" s="829" t="e">
        <f t="shared" si="3"/>
        <v>#VALUE!</v>
      </c>
      <c r="U21" s="642">
        <f t="shared" si="4"/>
        <v>3</v>
      </c>
    </row>
    <row r="22" spans="1:21" ht="15.75" thickBot="1" x14ac:dyDescent="0.3">
      <c r="A22" s="651">
        <v>44217</v>
      </c>
      <c r="B22" s="657" t="str">
        <f t="shared" si="0"/>
        <v>Čt</v>
      </c>
      <c r="C22" s="748">
        <f>Tabulka414[[#This Row],[DO]]-Tabulka414[[#This Row],[OD]]-TIME(0,30,0)</f>
        <v>0.35416666666666663</v>
      </c>
      <c r="D22" s="743">
        <f t="shared" si="1"/>
        <v>1.4166666666666665</v>
      </c>
      <c r="E22" s="724">
        <v>0.29166666666666669</v>
      </c>
      <c r="F22" s="727">
        <v>0.66666666666666663</v>
      </c>
      <c r="G22" s="654"/>
      <c r="H22" s="657"/>
      <c r="I22" s="654"/>
      <c r="J22" s="657"/>
      <c r="K22" s="654"/>
      <c r="L22" s="657" t="s">
        <v>16</v>
      </c>
      <c r="M22" s="714">
        <v>4</v>
      </c>
      <c r="N22" s="738">
        <v>0</v>
      </c>
      <c r="O22" s="747">
        <f>N22</f>
        <v>0</v>
      </c>
      <c r="P22" s="718"/>
      <c r="Q22" s="718"/>
      <c r="R22" s="718"/>
      <c r="S22" s="718"/>
      <c r="T22" s="829">
        <f t="shared" si="3"/>
        <v>33052320</v>
      </c>
      <c r="U22" s="642">
        <f t="shared" si="4"/>
        <v>4</v>
      </c>
    </row>
    <row r="23" spans="1:21" ht="15.75" thickBot="1" x14ac:dyDescent="0.3">
      <c r="A23" s="651">
        <v>44218</v>
      </c>
      <c r="B23" s="657" t="str">
        <f t="shared" si="0"/>
        <v>Pá</v>
      </c>
      <c r="C23" s="748">
        <f>Tabulka414[[#This Row],[DO]]-Tabulka414[[#This Row],[OD]]-TIME(0,30,0)</f>
        <v>-2.0833333333333332E-2</v>
      </c>
      <c r="D23" s="743">
        <f t="shared" si="1"/>
        <v>0</v>
      </c>
      <c r="E23" s="724"/>
      <c r="F23" s="727"/>
      <c r="G23" s="654"/>
      <c r="H23" s="657"/>
      <c r="I23" s="654"/>
      <c r="J23" s="657"/>
      <c r="K23" s="654"/>
      <c r="L23" s="657" t="s">
        <v>16</v>
      </c>
      <c r="M23" s="714">
        <v>0</v>
      </c>
      <c r="N23" s="711" t="s">
        <v>35</v>
      </c>
      <c r="O23" s="646" t="s">
        <v>164</v>
      </c>
      <c r="P23" s="718"/>
      <c r="Q23" s="718"/>
      <c r="R23" s="718"/>
      <c r="S23" s="718"/>
      <c r="T23" s="829" t="e">
        <f t="shared" si="3"/>
        <v>#VALUE!</v>
      </c>
      <c r="U23" s="642">
        <f t="shared" si="4"/>
        <v>5</v>
      </c>
    </row>
    <row r="24" spans="1:21" ht="15.75" thickBot="1" x14ac:dyDescent="0.3">
      <c r="A24" s="651">
        <v>44219</v>
      </c>
      <c r="B24" s="657" t="str">
        <f t="shared" si="0"/>
        <v>So</v>
      </c>
      <c r="C24" s="748">
        <f>Tabulka414[[#This Row],[DO]]-Tabulka414[[#This Row],[OD]]-TIME(0,30,0)</f>
        <v>0.3125</v>
      </c>
      <c r="D24" s="743">
        <f t="shared" si="1"/>
        <v>1.25</v>
      </c>
      <c r="E24" s="724">
        <v>0.27083333333333331</v>
      </c>
      <c r="F24" s="727">
        <v>0.60416666666666663</v>
      </c>
      <c r="G24" s="654"/>
      <c r="H24" s="657"/>
      <c r="I24" s="654"/>
      <c r="J24" s="657"/>
      <c r="K24" s="654"/>
      <c r="L24" s="657" t="s">
        <v>16</v>
      </c>
      <c r="M24" s="714">
        <v>4</v>
      </c>
      <c r="N24" s="739">
        <f>N12+N28-P5-P7</f>
        <v>75083.000000000015</v>
      </c>
      <c r="O24" s="740">
        <f>O12+N28-P5-P7-O26</f>
        <v>4784</v>
      </c>
      <c r="P24" s="718"/>
      <c r="Q24" s="718"/>
      <c r="R24" s="718"/>
      <c r="S24" s="718"/>
      <c r="T24" s="829">
        <f t="shared" si="3"/>
        <v>26680800</v>
      </c>
      <c r="U24" s="642">
        <f t="shared" si="4"/>
        <v>6</v>
      </c>
    </row>
    <row r="25" spans="1:21" ht="15.75" thickBot="1" x14ac:dyDescent="0.3">
      <c r="A25" s="651">
        <v>44220</v>
      </c>
      <c r="B25" s="657" t="str">
        <f t="shared" si="0"/>
        <v>Ne</v>
      </c>
      <c r="C25" s="748">
        <f>Tabulka414[[#This Row],[DO]]-Tabulka414[[#This Row],[OD]]-TIME(0,30,0)</f>
        <v>-2.0833333333333332E-2</v>
      </c>
      <c r="D25" s="743">
        <f t="shared" si="1"/>
        <v>0</v>
      </c>
      <c r="E25" s="724"/>
      <c r="F25" s="727"/>
      <c r="G25" s="654"/>
      <c r="H25" s="657"/>
      <c r="I25" s="654"/>
      <c r="J25" s="657"/>
      <c r="K25" s="654"/>
      <c r="L25" s="657" t="s">
        <v>16</v>
      </c>
      <c r="M25" s="714">
        <v>0</v>
      </c>
      <c r="N25" s="711" t="s">
        <v>284</v>
      </c>
      <c r="O25" s="646" t="s">
        <v>307</v>
      </c>
      <c r="P25" s="718"/>
      <c r="Q25" s="718"/>
      <c r="R25" s="718"/>
      <c r="S25" s="718"/>
      <c r="T25" s="829" t="e">
        <f t="shared" si="3"/>
        <v>#VALUE!</v>
      </c>
      <c r="U25" s="642">
        <f t="shared" si="4"/>
        <v>7</v>
      </c>
    </row>
    <row r="26" spans="1:21" ht="15.75" thickBot="1" x14ac:dyDescent="0.3">
      <c r="A26" s="651">
        <v>44221</v>
      </c>
      <c r="B26" s="657" t="str">
        <f t="shared" si="0"/>
        <v>Po</v>
      </c>
      <c r="C26" s="748">
        <f>Tabulka414[[#This Row],[DO]]-Tabulka414[[#This Row],[OD]]-TIME(0,30,0)</f>
        <v>0.27083333333333337</v>
      </c>
      <c r="D26" s="743">
        <f t="shared" si="1"/>
        <v>1.6250000000000002</v>
      </c>
      <c r="E26" s="724">
        <v>0.33333333333333331</v>
      </c>
      <c r="F26" s="727">
        <v>0.625</v>
      </c>
      <c r="G26" s="654"/>
      <c r="H26" s="657"/>
      <c r="I26" s="654"/>
      <c r="J26" s="657"/>
      <c r="K26" s="654"/>
      <c r="L26" s="657" t="s">
        <v>16</v>
      </c>
      <c r="M26" s="714">
        <v>6</v>
      </c>
      <c r="N26" s="739">
        <v>68859</v>
      </c>
      <c r="O26" s="740">
        <f>N26-Q6</f>
        <v>68859</v>
      </c>
      <c r="P26" s="718"/>
      <c r="Q26" s="718"/>
      <c r="R26" s="718"/>
      <c r="S26" s="718"/>
      <c r="T26" s="829">
        <f t="shared" si="3"/>
        <v>0</v>
      </c>
      <c r="U26" s="642">
        <f t="shared" si="4"/>
        <v>1</v>
      </c>
    </row>
    <row r="27" spans="1:21" ht="15.75" thickBot="1" x14ac:dyDescent="0.3">
      <c r="A27" s="651">
        <v>44222</v>
      </c>
      <c r="B27" s="657" t="str">
        <f t="shared" si="0"/>
        <v>Út</v>
      </c>
      <c r="C27" s="748">
        <f>Tabulka414[[#This Row],[DO]]-Tabulka414[[#This Row],[OD]]-TIME(0,30,0)</f>
        <v>0.5625</v>
      </c>
      <c r="D27" s="743">
        <f t="shared" si="1"/>
        <v>3.375</v>
      </c>
      <c r="E27" s="724">
        <v>0.25</v>
      </c>
      <c r="F27" s="727">
        <v>0.83333333333333337</v>
      </c>
      <c r="G27" s="654"/>
      <c r="H27" s="657"/>
      <c r="I27" s="654"/>
      <c r="J27" s="657"/>
      <c r="K27" s="654"/>
      <c r="L27" s="657" t="s">
        <v>16</v>
      </c>
      <c r="M27" s="714">
        <v>6</v>
      </c>
      <c r="N27" s="711" t="s">
        <v>283</v>
      </c>
      <c r="O27" s="646"/>
      <c r="P27" s="718"/>
      <c r="Q27" s="718"/>
      <c r="R27" s="718"/>
      <c r="S27" s="718"/>
      <c r="T27" s="829">
        <f t="shared" si="3"/>
        <v>0</v>
      </c>
      <c r="U27" s="642">
        <f t="shared" si="4"/>
        <v>2</v>
      </c>
    </row>
    <row r="28" spans="1:21" ht="15.75" thickBot="1" x14ac:dyDescent="0.3">
      <c r="A28" s="651">
        <v>44223</v>
      </c>
      <c r="B28" s="657" t="str">
        <f t="shared" si="0"/>
        <v>St</v>
      </c>
      <c r="C28" s="748">
        <f>Tabulka414[[#This Row],[DO]]-Tabulka414[[#This Row],[OD]]-TIME(0,30,0)</f>
        <v>0.45833333333333331</v>
      </c>
      <c r="D28" s="743">
        <f>M28*C28</f>
        <v>2.75</v>
      </c>
      <c r="E28" s="724">
        <v>0.25</v>
      </c>
      <c r="F28" s="727">
        <v>0.72916666666666663</v>
      </c>
      <c r="G28" s="654"/>
      <c r="H28" s="657"/>
      <c r="I28" s="654"/>
      <c r="J28" s="657"/>
      <c r="K28" s="654"/>
      <c r="L28" s="657" t="s">
        <v>16</v>
      </c>
      <c r="M28" s="714">
        <v>6</v>
      </c>
      <c r="N28" s="739">
        <v>55585</v>
      </c>
      <c r="O28" s="646"/>
      <c r="P28" s="718"/>
      <c r="Q28" s="718"/>
      <c r="R28" s="718"/>
      <c r="S28" s="718"/>
      <c r="T28" s="829">
        <f t="shared" si="3"/>
        <v>0</v>
      </c>
      <c r="U28" s="642">
        <f t="shared" si="4"/>
        <v>3</v>
      </c>
    </row>
    <row r="29" spans="1:21" ht="15.75" thickBot="1" x14ac:dyDescent="0.3">
      <c r="A29" s="651">
        <v>44224</v>
      </c>
      <c r="B29" s="657" t="str">
        <f t="shared" si="0"/>
        <v>Čt</v>
      </c>
      <c r="C29" s="748">
        <f>Tabulka414[[#This Row],[DO]]-Tabulka414[[#This Row],[OD]]-TIME(0,30,0)</f>
        <v>0.45833333333333331</v>
      </c>
      <c r="D29" s="743">
        <f t="shared" si="1"/>
        <v>2.2916666666666665</v>
      </c>
      <c r="E29" s="724">
        <v>0.25</v>
      </c>
      <c r="F29" s="727">
        <v>0.72916666666666663</v>
      </c>
      <c r="G29" s="654"/>
      <c r="H29" s="657"/>
      <c r="I29" s="654"/>
      <c r="J29" s="657"/>
      <c r="K29" s="654"/>
      <c r="L29" s="657" t="s">
        <v>16</v>
      </c>
      <c r="M29" s="714">
        <v>5</v>
      </c>
      <c r="N29" s="712" t="s">
        <v>230</v>
      </c>
      <c r="O29" s="648"/>
      <c r="P29" s="718"/>
      <c r="Q29" s="718"/>
      <c r="R29" s="718"/>
      <c r="S29" s="718"/>
      <c r="T29" s="829">
        <f t="shared" si="3"/>
        <v>0</v>
      </c>
      <c r="U29" s="642">
        <f t="shared" si="4"/>
        <v>4</v>
      </c>
    </row>
    <row r="30" spans="1:21" ht="15.75" thickBot="1" x14ac:dyDescent="0.3">
      <c r="A30" s="651">
        <v>44225</v>
      </c>
      <c r="B30" s="657" t="str">
        <f t="shared" si="0"/>
        <v>Pá</v>
      </c>
      <c r="C30" s="748">
        <f>Tabulka414[[#This Row],[DO]]-Tabulka414[[#This Row],[OD]]-TIME(0,30,0)</f>
        <v>0.47916666666666663</v>
      </c>
      <c r="D30" s="743">
        <f t="shared" si="1"/>
        <v>2.875</v>
      </c>
      <c r="E30" s="724">
        <v>0.29166666666666669</v>
      </c>
      <c r="F30" s="727">
        <v>0.79166666666666663</v>
      </c>
      <c r="G30" s="654"/>
      <c r="H30" s="657"/>
      <c r="I30" s="654"/>
      <c r="J30" s="657"/>
      <c r="K30" s="654"/>
      <c r="L30" s="657" t="s">
        <v>16</v>
      </c>
      <c r="M30" s="708">
        <v>6</v>
      </c>
      <c r="N30" s="715"/>
      <c r="O30" s="720"/>
      <c r="P30" s="718"/>
      <c r="Q30" s="718"/>
      <c r="R30" s="718"/>
      <c r="S30" s="718"/>
      <c r="T30" s="829">
        <f t="shared" si="3"/>
        <v>0</v>
      </c>
      <c r="U30" s="642">
        <f t="shared" si="4"/>
        <v>5</v>
      </c>
    </row>
    <row r="31" spans="1:21" ht="15.75" thickBot="1" x14ac:dyDescent="0.3">
      <c r="A31" s="651">
        <v>44226</v>
      </c>
      <c r="B31" s="657" t="str">
        <f t="shared" si="0"/>
        <v>So</v>
      </c>
      <c r="C31" s="748">
        <f>Tabulka414[[#This Row],[DO]]-Tabulka414[[#This Row],[OD]]-TIME(0,30,0)</f>
        <v>0.39583333333333331</v>
      </c>
      <c r="D31" s="743">
        <f t="shared" si="1"/>
        <v>2.375</v>
      </c>
      <c r="E31" s="724">
        <v>0.25</v>
      </c>
      <c r="F31" s="727">
        <v>0.66666666666666663</v>
      </c>
      <c r="G31" s="654"/>
      <c r="H31" s="657"/>
      <c r="I31" s="654"/>
      <c r="J31" s="657"/>
      <c r="K31" s="654"/>
      <c r="L31" s="657" t="s">
        <v>16</v>
      </c>
      <c r="M31" s="708">
        <v>6</v>
      </c>
      <c r="N31" s="649"/>
      <c r="O31" s="646"/>
      <c r="P31" s="718"/>
      <c r="Q31" s="718"/>
      <c r="R31" s="718"/>
      <c r="S31" s="718"/>
      <c r="T31" s="829">
        <f t="shared" si="3"/>
        <v>0</v>
      </c>
      <c r="U31" s="642">
        <f t="shared" si="4"/>
        <v>6</v>
      </c>
    </row>
    <row r="32" spans="1:21" ht="15.75" thickBot="1" x14ac:dyDescent="0.3">
      <c r="A32" s="651">
        <v>44227</v>
      </c>
      <c r="B32" s="657" t="str">
        <f t="shared" si="0"/>
        <v>Ne</v>
      </c>
      <c r="C32" s="748">
        <f>Tabulka414[[#This Row],[DO]]-Tabulka414[[#This Row],[OD]]-TIME(0,30,0)</f>
        <v>-2.0833333333333332E-2</v>
      </c>
      <c r="D32" s="743">
        <f t="shared" si="1"/>
        <v>0</v>
      </c>
      <c r="E32" s="724"/>
      <c r="F32" s="727"/>
      <c r="G32" s="654"/>
      <c r="H32" s="657"/>
      <c r="I32" s="654"/>
      <c r="J32" s="657"/>
      <c r="K32" s="654"/>
      <c r="L32" s="657" t="s">
        <v>16</v>
      </c>
      <c r="M32" s="708">
        <v>0</v>
      </c>
      <c r="N32" s="649"/>
      <c r="O32" s="646"/>
      <c r="P32" s="718"/>
      <c r="Q32" s="718"/>
      <c r="R32" s="718"/>
      <c r="S32" s="718"/>
      <c r="T32" s="829">
        <f t="shared" si="3"/>
        <v>0</v>
      </c>
      <c r="U32" s="642">
        <f t="shared" si="4"/>
        <v>7</v>
      </c>
    </row>
    <row r="33" spans="1:21" ht="15.75" thickBot="1" x14ac:dyDescent="0.3">
      <c r="A33" s="651">
        <v>44228</v>
      </c>
      <c r="B33" s="657" t="str">
        <f t="shared" si="0"/>
        <v>Po</v>
      </c>
      <c r="C33" s="748">
        <f>Tabulka414[[#This Row],[DO]]-Tabulka414[[#This Row],[OD]]-TIME(0,30,0)</f>
        <v>-2.0833333333333332E-2</v>
      </c>
      <c r="D33" s="743">
        <f t="shared" si="1"/>
        <v>0</v>
      </c>
      <c r="E33" s="724"/>
      <c r="F33" s="727"/>
      <c r="G33" s="654"/>
      <c r="H33" s="657"/>
      <c r="I33" s="654"/>
      <c r="J33" s="657"/>
      <c r="K33" s="654"/>
      <c r="L33" s="657"/>
      <c r="M33" s="708"/>
      <c r="N33" s="649"/>
      <c r="O33" s="646"/>
      <c r="P33" s="718"/>
      <c r="Q33" s="718"/>
      <c r="R33" s="718"/>
      <c r="S33" s="718"/>
      <c r="T33" s="829">
        <f t="shared" si="3"/>
        <v>0</v>
      </c>
      <c r="U33" s="642">
        <f>WEEKDAY(A33,2)</f>
        <v>1</v>
      </c>
    </row>
    <row r="34" spans="1:21" ht="15.75" thickBot="1" x14ac:dyDescent="0.3">
      <c r="A34" s="651">
        <v>44229</v>
      </c>
      <c r="B34" s="657" t="str">
        <f t="shared" si="0"/>
        <v>Út</v>
      </c>
      <c r="C34" s="748">
        <f>Tabulka414[[#This Row],[DO]]-Tabulka414[[#This Row],[OD]]-TIME(0,30,0)</f>
        <v>-2.0833333333333332E-2</v>
      </c>
      <c r="D34" s="743">
        <f t="shared" si="1"/>
        <v>0</v>
      </c>
      <c r="E34" s="724"/>
      <c r="F34" s="727"/>
      <c r="G34" s="654"/>
      <c r="H34" s="657"/>
      <c r="I34" s="654"/>
      <c r="J34" s="657"/>
      <c r="K34" s="654"/>
      <c r="L34" s="657"/>
      <c r="M34" s="708"/>
      <c r="N34" s="649"/>
      <c r="O34" s="646"/>
      <c r="P34" s="718"/>
      <c r="Q34" s="718"/>
      <c r="R34" s="718"/>
      <c r="S34" s="718"/>
      <c r="T34" s="829">
        <f t="shared" si="3"/>
        <v>0</v>
      </c>
      <c r="U34" s="642">
        <f t="shared" ref="U34:U35" si="5">WEEKDAY(A34,2)</f>
        <v>2</v>
      </c>
    </row>
    <row r="35" spans="1:21" ht="15.75" thickBot="1" x14ac:dyDescent="0.3">
      <c r="A35" s="651">
        <v>44230</v>
      </c>
      <c r="B35" s="658" t="str">
        <f t="shared" si="0"/>
        <v>St</v>
      </c>
      <c r="C35" s="748">
        <f>Tabulka414[[#This Row],[DO]]-Tabulka414[[#This Row],[OD]]-TIME(0,30,0)</f>
        <v>-2.0833333333333332E-2</v>
      </c>
      <c r="D35" s="746">
        <f t="shared" si="1"/>
        <v>0</v>
      </c>
      <c r="E35" s="725"/>
      <c r="F35" s="728"/>
      <c r="G35" s="655"/>
      <c r="H35" s="658"/>
      <c r="I35" s="655"/>
      <c r="J35" s="658"/>
      <c r="K35" s="655"/>
      <c r="L35" s="658"/>
      <c r="M35" s="709"/>
      <c r="N35" s="652"/>
      <c r="O35" s="648"/>
      <c r="P35" s="718"/>
      <c r="Q35" s="718"/>
      <c r="R35" s="718"/>
      <c r="S35" s="718"/>
      <c r="T35" s="829">
        <f t="shared" si="3"/>
        <v>0</v>
      </c>
      <c r="U35" s="642">
        <f t="shared" si="5"/>
        <v>3</v>
      </c>
    </row>
    <row r="36" spans="1:21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</row>
    <row r="38" spans="1:21" x14ac:dyDescent="0.25">
      <c r="A38" s="827">
        <v>44216</v>
      </c>
      <c r="B38" t="s">
        <v>290</v>
      </c>
      <c r="C38" t="s">
        <v>294</v>
      </c>
      <c r="D38" t="s">
        <v>295</v>
      </c>
      <c r="E38" s="731">
        <v>0.89583333333333337</v>
      </c>
      <c r="F38" s="828">
        <v>0.25</v>
      </c>
      <c r="N38" s="731"/>
    </row>
    <row r="39" spans="1:21" x14ac:dyDescent="0.25">
      <c r="A39" s="827">
        <v>44218</v>
      </c>
      <c r="B39" t="s">
        <v>296</v>
      </c>
      <c r="C39" s="733" t="s">
        <v>297</v>
      </c>
      <c r="E39" s="732">
        <v>0.45833333333333331</v>
      </c>
      <c r="F39" s="828">
        <v>0</v>
      </c>
    </row>
    <row r="40" spans="1:21" x14ac:dyDescent="0.25">
      <c r="N40" s="744"/>
    </row>
    <row r="42" spans="1:21" x14ac:dyDescent="0.25">
      <c r="N42" s="736">
        <f>N2*24*10</f>
        <v>2117.5000000000005</v>
      </c>
    </row>
    <row r="43" spans="1:21" x14ac:dyDescent="0.25">
      <c r="N43" s="737"/>
    </row>
    <row r="45" spans="1:21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F533C5-AA48-5041-A627-254B5E0150D5}">
  <dimension ref="A1:AK52"/>
  <sheetViews>
    <sheetView topLeftCell="T1" zoomScaleNormal="60" zoomScaleSheetLayoutView="100" workbookViewId="0">
      <selection activeCell="AF5" sqref="AF5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9.5703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9.42578125" customWidth="1"/>
    <col min="18" max="18" width="10.5703125" bestFit="1" customWidth="1"/>
    <col min="19" max="19" width="9.42578125" bestFit="1" customWidth="1"/>
    <col min="20" max="20" width="10.28515625" bestFit="1" customWidth="1"/>
    <col min="21" max="21" width="13.140625" customWidth="1"/>
    <col min="22" max="22" width="10.28515625" bestFit="1" customWidth="1"/>
    <col min="23" max="26" width="10.28515625" customWidth="1"/>
    <col min="27" max="27" width="12.7109375" customWidth="1"/>
    <col min="28" max="28" width="10.28515625" bestFit="1" customWidth="1"/>
    <col min="29" max="29" width="9.140625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464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322</v>
      </c>
      <c r="R2" s="966" t="s">
        <v>441</v>
      </c>
      <c r="S2" s="967" t="s">
        <v>55</v>
      </c>
      <c r="T2" s="966" t="s">
        <v>442</v>
      </c>
      <c r="U2" s="964" t="s">
        <v>465</v>
      </c>
      <c r="V2" s="966" t="s">
        <v>443</v>
      </c>
      <c r="W2" s="964" t="s">
        <v>321</v>
      </c>
      <c r="X2" s="966" t="s">
        <v>444</v>
      </c>
      <c r="Y2" s="964" t="s">
        <v>466</v>
      </c>
      <c r="Z2" s="966" t="s">
        <v>445</v>
      </c>
      <c r="AA2" s="964" t="s">
        <v>434</v>
      </c>
      <c r="AB2" s="966" t="s">
        <v>446</v>
      </c>
      <c r="AC2" s="964" t="s">
        <v>435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/>
      <c r="B3" s="979"/>
      <c r="C3" s="945"/>
      <c r="D3" s="619"/>
      <c r="E3" s="979"/>
      <c r="F3" s="952"/>
      <c r="G3" s="975"/>
      <c r="H3" s="952"/>
      <c r="I3" s="619"/>
      <c r="J3" s="978"/>
      <c r="K3" s="952"/>
      <c r="L3" s="959"/>
      <c r="M3" s="981"/>
      <c r="N3" s="952"/>
      <c r="O3" s="984">
        <f t="shared" ref="O3" si="0">AG35-AK6-AI3</f>
        <v>910</v>
      </c>
      <c r="P3" s="945"/>
      <c r="Q3" s="984">
        <v>150</v>
      </c>
      <c r="R3" s="937">
        <v>44572</v>
      </c>
      <c r="S3" s="984">
        <v>100</v>
      </c>
      <c r="T3" s="937">
        <v>44572</v>
      </c>
      <c r="U3" s="984">
        <v>100</v>
      </c>
      <c r="V3" s="937">
        <v>44571</v>
      </c>
      <c r="W3" s="989">
        <v>200</v>
      </c>
      <c r="X3" s="937">
        <v>44592</v>
      </c>
      <c r="Y3" s="989"/>
      <c r="Z3" s="937"/>
      <c r="AA3" s="984"/>
      <c r="AB3" s="937"/>
      <c r="AC3" s="989"/>
      <c r="AD3" s="937"/>
      <c r="AE3" s="993"/>
      <c r="AF3" s="996">
        <v>44572</v>
      </c>
      <c r="AG3" s="968">
        <v>500</v>
      </c>
      <c r="AH3" s="299">
        <v>0</v>
      </c>
      <c r="AI3" s="300">
        <v>320</v>
      </c>
      <c r="AJ3" s="301">
        <f>AH6+AJ6</f>
        <v>0</v>
      </c>
      <c r="AK3" s="302">
        <f>AK6+AI6</f>
        <v>2270</v>
      </c>
    </row>
    <row r="4" spans="1:37" ht="19.5" thickBot="1" x14ac:dyDescent="0.3">
      <c r="A4" s="681"/>
      <c r="B4" s="979"/>
      <c r="C4" s="946"/>
      <c r="D4" s="618"/>
      <c r="E4" s="979"/>
      <c r="F4" s="953"/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>
        <v>1100</v>
      </c>
      <c r="R4" s="938">
        <v>44575</v>
      </c>
      <c r="S4" s="986">
        <v>50</v>
      </c>
      <c r="T4" s="938">
        <v>44575</v>
      </c>
      <c r="U4" s="986">
        <v>100</v>
      </c>
      <c r="V4" s="938">
        <v>44573</v>
      </c>
      <c r="W4" s="990"/>
      <c r="X4" s="938"/>
      <c r="Y4" s="990"/>
      <c r="Z4" s="938"/>
      <c r="AA4" s="986"/>
      <c r="AB4" s="938"/>
      <c r="AC4" s="990"/>
      <c r="AD4" s="938"/>
      <c r="AE4" s="994"/>
      <c r="AF4" s="997">
        <v>44572</v>
      </c>
      <c r="AG4" s="963">
        <v>500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81"/>
      <c r="B5" s="979"/>
      <c r="C5" s="946"/>
      <c r="D5" s="618"/>
      <c r="E5" s="979"/>
      <c r="F5" s="953"/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986">
        <v>150</v>
      </c>
      <c r="R5" s="938">
        <v>44588</v>
      </c>
      <c r="S5" s="986">
        <v>100</v>
      </c>
      <c r="T5" s="938">
        <v>44585</v>
      </c>
      <c r="U5" s="986">
        <v>100</v>
      </c>
      <c r="V5" s="938">
        <v>44578</v>
      </c>
      <c r="W5" s="990"/>
      <c r="X5" s="938"/>
      <c r="Y5" s="990"/>
      <c r="Z5" s="938"/>
      <c r="AA5" s="986"/>
      <c r="AB5" s="938"/>
      <c r="AC5" s="990"/>
      <c r="AD5" s="938"/>
      <c r="AE5" s="994"/>
      <c r="AF5" s="997">
        <v>44575</v>
      </c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81"/>
      <c r="B6" s="979"/>
      <c r="C6" s="946"/>
      <c r="D6" s="618"/>
      <c r="E6" s="979"/>
      <c r="F6" s="953"/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986"/>
      <c r="R6" s="938"/>
      <c r="S6" s="986">
        <v>50</v>
      </c>
      <c r="T6" s="938">
        <v>44592</v>
      </c>
      <c r="U6" s="986">
        <v>15</v>
      </c>
      <c r="V6" s="938"/>
      <c r="W6" s="990"/>
      <c r="X6" s="938"/>
      <c r="Y6" s="990"/>
      <c r="Z6" s="938"/>
      <c r="AA6" s="986"/>
      <c r="AB6" s="938"/>
      <c r="AC6" s="990"/>
      <c r="AD6" s="938"/>
      <c r="AE6" s="994"/>
      <c r="AF6" s="997">
        <v>44575</v>
      </c>
      <c r="AG6" s="963">
        <v>500</v>
      </c>
      <c r="AH6" s="612">
        <f>A35+L35</f>
        <v>0</v>
      </c>
      <c r="AI6" s="317">
        <f>D35+H35+K35+N35</f>
        <v>0</v>
      </c>
      <c r="AJ6" s="128">
        <f>L36+C35</f>
        <v>0</v>
      </c>
      <c r="AK6" s="129">
        <f>F35+G35+I35+M35+Q35+S35+U35+W35+Y35+AA35+AC35</f>
        <v>2270</v>
      </c>
    </row>
    <row r="7" spans="1:37" ht="19.5" thickBot="1" x14ac:dyDescent="0.3">
      <c r="A7" s="681"/>
      <c r="B7" s="979"/>
      <c r="C7" s="946"/>
      <c r="D7" s="618"/>
      <c r="E7" s="979"/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986">
        <v>20</v>
      </c>
      <c r="R7" s="938"/>
      <c r="S7" s="986"/>
      <c r="T7" s="938"/>
      <c r="U7" s="986">
        <v>10</v>
      </c>
      <c r="V7" s="938"/>
      <c r="W7" s="990"/>
      <c r="X7" s="938"/>
      <c r="Y7" s="990"/>
      <c r="Z7" s="938"/>
      <c r="AA7" s="986"/>
      <c r="AB7" s="938"/>
      <c r="AC7" s="990"/>
      <c r="AD7" s="938"/>
      <c r="AE7" s="994"/>
      <c r="AF7" s="997">
        <v>44584</v>
      </c>
      <c r="AG7" s="963">
        <v>1000</v>
      </c>
      <c r="AH7" s="613" t="s">
        <v>66</v>
      </c>
      <c r="AI7" s="321" t="s">
        <v>67</v>
      </c>
    </row>
    <row r="8" spans="1:37" x14ac:dyDescent="0.25">
      <c r="A8" s="681"/>
      <c r="B8" s="979"/>
      <c r="C8" s="946"/>
      <c r="D8" s="618"/>
      <c r="E8" s="979"/>
      <c r="F8" s="953"/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986"/>
      <c r="R8" s="938"/>
      <c r="S8" s="976"/>
      <c r="T8" s="938"/>
      <c r="U8" s="986">
        <v>25</v>
      </c>
      <c r="V8" s="938">
        <v>44592</v>
      </c>
      <c r="W8" s="990"/>
      <c r="X8" s="938"/>
      <c r="Y8" s="990"/>
      <c r="Z8" s="938"/>
      <c r="AA8" s="986"/>
      <c r="AB8" s="938"/>
      <c r="AC8" s="990"/>
      <c r="AD8" s="938"/>
      <c r="AE8" s="994"/>
      <c r="AF8" s="997">
        <v>44593</v>
      </c>
      <c r="AG8" s="963">
        <v>500</v>
      </c>
      <c r="AH8" s="326">
        <v>0</v>
      </c>
      <c r="AI8" s="327">
        <f>E35</f>
        <v>0</v>
      </c>
    </row>
    <row r="9" spans="1:37" ht="15.75" thickBot="1" x14ac:dyDescent="0.3">
      <c r="A9" s="681"/>
      <c r="B9" s="979"/>
      <c r="C9" s="946"/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/>
      <c r="R9" s="938"/>
      <c r="S9" s="976"/>
      <c r="T9" s="938"/>
      <c r="U9" s="986"/>
      <c r="V9" s="938"/>
      <c r="W9" s="990"/>
      <c r="X9" s="938"/>
      <c r="Y9" s="990"/>
      <c r="Z9" s="938"/>
      <c r="AA9" s="986"/>
      <c r="AB9" s="938"/>
      <c r="AC9" s="990"/>
      <c r="AD9" s="938"/>
      <c r="AE9" s="994"/>
      <c r="AF9" s="997"/>
      <c r="AG9" s="963"/>
      <c r="AH9" s="1244">
        <f>AH8-AI8</f>
        <v>0</v>
      </c>
      <c r="AI9" s="1222"/>
    </row>
    <row r="10" spans="1:37" x14ac:dyDescent="0.25">
      <c r="A10" s="681"/>
      <c r="B10" s="979"/>
      <c r="C10" s="946"/>
      <c r="D10" s="618"/>
      <c r="E10" s="979"/>
      <c r="F10" s="953"/>
      <c r="G10" s="976"/>
      <c r="H10" s="953"/>
      <c r="I10" s="618"/>
      <c r="J10" s="979"/>
      <c r="K10" s="953"/>
      <c r="L10" s="960"/>
      <c r="M10" s="982"/>
      <c r="N10" s="953"/>
      <c r="O10" s="976"/>
      <c r="P10" s="946"/>
      <c r="Q10" s="986"/>
      <c r="R10" s="938"/>
      <c r="S10" s="976"/>
      <c r="T10" s="938"/>
      <c r="U10" s="986"/>
      <c r="V10" s="938"/>
      <c r="W10" s="990"/>
      <c r="X10" s="938"/>
      <c r="Y10" s="990"/>
      <c r="Z10" s="938"/>
      <c r="AA10" s="976"/>
      <c r="AB10" s="938"/>
      <c r="AC10" s="991"/>
      <c r="AD10" s="938"/>
      <c r="AE10" s="994"/>
      <c r="AF10" s="997"/>
      <c r="AG10" s="963"/>
      <c r="AH10" s="610"/>
    </row>
    <row r="11" spans="1:37" x14ac:dyDescent="0.25">
      <c r="A11" s="681"/>
      <c r="B11" s="979"/>
      <c r="C11" s="946"/>
      <c r="D11" s="618"/>
      <c r="E11" s="979"/>
      <c r="F11" s="953"/>
      <c r="G11" s="976"/>
      <c r="H11" s="953"/>
      <c r="I11" s="618"/>
      <c r="J11" s="979"/>
      <c r="K11" s="953"/>
      <c r="L11" s="960"/>
      <c r="M11" s="982"/>
      <c r="N11" s="963"/>
      <c r="O11" s="976"/>
      <c r="P11" s="946"/>
      <c r="Q11" s="986"/>
      <c r="R11" s="938"/>
      <c r="S11" s="976"/>
      <c r="T11" s="938"/>
      <c r="U11" s="986"/>
      <c r="V11" s="938"/>
      <c r="W11" s="990"/>
      <c r="X11" s="938"/>
      <c r="Y11" s="990"/>
      <c r="Z11" s="938"/>
      <c r="AA11" s="976"/>
      <c r="AB11" s="938"/>
      <c r="AC11" s="991"/>
      <c r="AD11" s="938"/>
      <c r="AE11" s="994"/>
      <c r="AF11" s="997"/>
      <c r="AG11" s="963"/>
      <c r="AH11" s="610"/>
    </row>
    <row r="12" spans="1:37" x14ac:dyDescent="0.25">
      <c r="A12" s="681"/>
      <c r="B12" s="979"/>
      <c r="C12" s="946"/>
      <c r="D12" s="618"/>
      <c r="E12" s="979"/>
      <c r="F12" s="953"/>
      <c r="G12" s="976"/>
      <c r="H12" s="953"/>
      <c r="I12" s="618"/>
      <c r="J12" s="979"/>
      <c r="K12" s="953"/>
      <c r="L12" s="960"/>
      <c r="M12" s="982"/>
      <c r="N12" s="953"/>
      <c r="O12" s="976"/>
      <c r="P12" s="946"/>
      <c r="Q12" s="986"/>
      <c r="R12" s="938"/>
      <c r="S12" s="976"/>
      <c r="T12" s="938"/>
      <c r="U12" s="986"/>
      <c r="V12" s="938"/>
      <c r="W12" s="990"/>
      <c r="X12" s="938"/>
      <c r="Y12" s="990"/>
      <c r="Z12" s="938"/>
      <c r="AA12" s="976"/>
      <c r="AB12" s="938"/>
      <c r="AC12" s="991"/>
      <c r="AD12" s="938"/>
      <c r="AE12" s="994"/>
      <c r="AF12" s="997"/>
      <c r="AG12" s="963"/>
      <c r="AH12" s="610"/>
    </row>
    <row r="13" spans="1:37" x14ac:dyDescent="0.25">
      <c r="A13" s="681"/>
      <c r="B13" s="979"/>
      <c r="C13" s="946"/>
      <c r="D13" s="618"/>
      <c r="E13" s="979"/>
      <c r="F13" s="953"/>
      <c r="G13" s="976"/>
      <c r="H13" s="953"/>
      <c r="I13" s="618"/>
      <c r="J13" s="979"/>
      <c r="K13" s="953"/>
      <c r="L13" s="960"/>
      <c r="M13" s="982"/>
      <c r="N13" s="953"/>
      <c r="O13" s="976"/>
      <c r="P13" s="946"/>
      <c r="Q13" s="986"/>
      <c r="R13" s="938"/>
      <c r="S13" s="976"/>
      <c r="T13" s="938"/>
      <c r="U13" s="986"/>
      <c r="V13" s="938"/>
      <c r="W13" s="990"/>
      <c r="X13" s="938"/>
      <c r="Y13" s="990"/>
      <c r="Z13" s="938"/>
      <c r="AA13" s="976"/>
      <c r="AB13" s="938"/>
      <c r="AC13" s="991"/>
      <c r="AD13" s="938"/>
      <c r="AE13" s="994"/>
      <c r="AF13" s="997"/>
      <c r="AG13" s="963"/>
      <c r="AH13" s="610"/>
    </row>
    <row r="14" spans="1:37" x14ac:dyDescent="0.25">
      <c r="A14" s="681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/>
      <c r="X14" s="938"/>
      <c r="Y14" s="990"/>
      <c r="Z14" s="938"/>
      <c r="AA14" s="976"/>
      <c r="AB14" s="938"/>
      <c r="AC14" s="991"/>
      <c r="AD14" s="938"/>
      <c r="AE14" s="994"/>
      <c r="AF14" s="997"/>
      <c r="AG14" s="953"/>
      <c r="AH14" s="610"/>
    </row>
    <row r="15" spans="1:37" x14ac:dyDescent="0.25">
      <c r="A15" s="681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53"/>
      <c r="O15" s="976"/>
      <c r="P15" s="946"/>
      <c r="Q15" s="986"/>
      <c r="R15" s="938"/>
      <c r="S15" s="976"/>
      <c r="T15" s="938"/>
      <c r="U15" s="986"/>
      <c r="V15" s="938"/>
      <c r="W15" s="991"/>
      <c r="X15" s="938"/>
      <c r="Y15" s="990"/>
      <c r="Z15" s="938"/>
      <c r="AA15" s="976"/>
      <c r="AB15" s="938"/>
      <c r="AC15" s="991"/>
      <c r="AD15" s="938"/>
      <c r="AE15" s="994"/>
      <c r="AF15" s="997"/>
      <c r="AG15" s="953"/>
      <c r="AH15" s="610"/>
    </row>
    <row r="16" spans="1:37" x14ac:dyDescent="0.25">
      <c r="A16" s="681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1"/>
      <c r="X16" s="938"/>
      <c r="Y16" s="990"/>
      <c r="Z16" s="938"/>
      <c r="AA16" s="976"/>
      <c r="AB16" s="938"/>
      <c r="AC16" s="991"/>
      <c r="AD16" s="938"/>
      <c r="AE16" s="994"/>
      <c r="AF16" s="997"/>
      <c r="AG16" s="953"/>
      <c r="AH16" s="610"/>
    </row>
    <row r="17" spans="1:34" x14ac:dyDescent="0.25">
      <c r="A17" s="681"/>
      <c r="B17" s="979"/>
      <c r="C17" s="946"/>
      <c r="D17" s="618"/>
      <c r="E17" s="979"/>
      <c r="F17" s="953"/>
      <c r="G17" s="976"/>
      <c r="H17" s="953"/>
      <c r="I17" s="618"/>
      <c r="J17" s="979"/>
      <c r="K17" s="953"/>
      <c r="L17" s="960"/>
      <c r="M17" s="982"/>
      <c r="N17" s="953"/>
      <c r="O17" s="976"/>
      <c r="P17" s="946"/>
      <c r="Q17" s="986"/>
      <c r="R17" s="938"/>
      <c r="S17" s="976"/>
      <c r="T17" s="938"/>
      <c r="U17" s="986"/>
      <c r="V17" s="938"/>
      <c r="W17" s="991"/>
      <c r="X17" s="938"/>
      <c r="Y17" s="990"/>
      <c r="Z17" s="938"/>
      <c r="AA17" s="976"/>
      <c r="AB17" s="938"/>
      <c r="AC17" s="991"/>
      <c r="AD17" s="938"/>
      <c r="AE17" s="994"/>
      <c r="AF17" s="997"/>
      <c r="AG17" s="953"/>
      <c r="AH17" s="610"/>
    </row>
    <row r="18" spans="1:34" x14ac:dyDescent="0.25">
      <c r="A18" s="681"/>
      <c r="B18" s="979"/>
      <c r="C18" s="946"/>
      <c r="D18" s="618"/>
      <c r="E18" s="979"/>
      <c r="F18" s="953"/>
      <c r="G18" s="976"/>
      <c r="H18" s="953"/>
      <c r="I18" s="618"/>
      <c r="J18" s="979"/>
      <c r="K18" s="953"/>
      <c r="L18" s="960"/>
      <c r="M18" s="982"/>
      <c r="N18" s="953"/>
      <c r="O18" s="976"/>
      <c r="P18" s="946"/>
      <c r="Q18" s="986"/>
      <c r="R18" s="938"/>
      <c r="S18" s="976"/>
      <c r="T18" s="938"/>
      <c r="U18" s="986"/>
      <c r="V18" s="938"/>
      <c r="W18" s="991"/>
      <c r="X18" s="938"/>
      <c r="Y18" s="991"/>
      <c r="Z18" s="938"/>
      <c r="AA18" s="976"/>
      <c r="AB18" s="938"/>
      <c r="AC18" s="991"/>
      <c r="AD18" s="938"/>
      <c r="AE18" s="994"/>
      <c r="AF18" s="997"/>
      <c r="AG18" s="953"/>
      <c r="AH18" s="610"/>
    </row>
    <row r="19" spans="1:34" x14ac:dyDescent="0.25">
      <c r="A19" s="681"/>
      <c r="B19" s="979"/>
      <c r="C19" s="946"/>
      <c r="D19" s="618"/>
      <c r="E19" s="979"/>
      <c r="F19" s="953"/>
      <c r="G19" s="976"/>
      <c r="H19" s="953"/>
      <c r="I19" s="618"/>
      <c r="J19" s="979"/>
      <c r="K19" s="953"/>
      <c r="L19" s="960"/>
      <c r="M19" s="982"/>
      <c r="N19" s="953"/>
      <c r="O19" s="976"/>
      <c r="P19" s="946"/>
      <c r="Q19" s="986"/>
      <c r="R19" s="938"/>
      <c r="S19" s="976"/>
      <c r="T19" s="938"/>
      <c r="U19" s="986"/>
      <c r="V19" s="938"/>
      <c r="W19" s="991"/>
      <c r="X19" s="938"/>
      <c r="Y19" s="991"/>
      <c r="Z19" s="938"/>
      <c r="AA19" s="976"/>
      <c r="AB19" s="938"/>
      <c r="AC19" s="991"/>
      <c r="AD19" s="938"/>
      <c r="AE19" s="994"/>
      <c r="AF19" s="997"/>
      <c r="AG19" s="953"/>
      <c r="AH19" s="614"/>
    </row>
    <row r="20" spans="1:34" x14ac:dyDescent="0.25">
      <c r="A20" s="681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1"/>
      <c r="X20" s="938"/>
      <c r="Y20" s="991"/>
      <c r="Z20" s="938"/>
      <c r="AA20" s="976"/>
      <c r="AB20" s="938"/>
      <c r="AC20" s="991"/>
      <c r="AD20" s="938"/>
      <c r="AE20" s="994"/>
      <c r="AF20" s="997"/>
      <c r="AG20" s="953"/>
      <c r="AH20" s="614"/>
    </row>
    <row r="21" spans="1:34" x14ac:dyDescent="0.25">
      <c r="A21" s="681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1"/>
      <c r="X21" s="938"/>
      <c r="Y21" s="991"/>
      <c r="Z21" s="938"/>
      <c r="AA21" s="976"/>
      <c r="AB21" s="938"/>
      <c r="AC21" s="991"/>
      <c r="AD21" s="938"/>
      <c r="AE21" s="994"/>
      <c r="AF21" s="997"/>
      <c r="AG21" s="953"/>
      <c r="AH21" s="614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1"/>
      <c r="Z22" s="938"/>
      <c r="AA22" s="976"/>
      <c r="AB22" s="938"/>
      <c r="AC22" s="991"/>
      <c r="AD22" s="938"/>
      <c r="AE22" s="994"/>
      <c r="AF22" s="997"/>
      <c r="AG22" s="953"/>
      <c r="AH22" s="614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1"/>
      <c r="Z23" s="938"/>
      <c r="AA23" s="976"/>
      <c r="AB23" s="938"/>
      <c r="AC23" s="991"/>
      <c r="AD23" s="938"/>
      <c r="AE23" s="994"/>
      <c r="AF23" s="997"/>
      <c r="AG23" s="953"/>
      <c r="AH23" s="614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1"/>
      <c r="Z24" s="938"/>
      <c r="AA24" s="976"/>
      <c r="AB24" s="938"/>
      <c r="AC24" s="991"/>
      <c r="AD24" s="938"/>
      <c r="AE24" s="994"/>
      <c r="AF24" s="997"/>
      <c r="AG24" s="953"/>
      <c r="AH24" s="614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1"/>
      <c r="Z25" s="938"/>
      <c r="AA25" s="976"/>
      <c r="AB25" s="938"/>
      <c r="AC25" s="991"/>
      <c r="AD25" s="938"/>
      <c r="AE25" s="994"/>
      <c r="AF25" s="997"/>
      <c r="AG25" s="953"/>
      <c r="AH25" s="614"/>
    </row>
    <row r="26" spans="1:34" x14ac:dyDescent="0.25">
      <c r="A26" s="681"/>
      <c r="B26" s="979"/>
      <c r="C26" s="946"/>
      <c r="D26" s="618"/>
      <c r="E26" s="979"/>
      <c r="F26" s="953"/>
      <c r="G26" s="976"/>
      <c r="H26" s="953"/>
      <c r="I26" s="618"/>
      <c r="J26" s="979"/>
      <c r="K26" s="953"/>
      <c r="L26" s="960"/>
      <c r="M26" s="982"/>
      <c r="N26" s="953"/>
      <c r="O26" s="976"/>
      <c r="P26" s="946"/>
      <c r="Q26" s="986"/>
      <c r="R26" s="938"/>
      <c r="S26" s="976"/>
      <c r="T26" s="938"/>
      <c r="U26" s="986"/>
      <c r="V26" s="938"/>
      <c r="W26" s="991"/>
      <c r="X26" s="938"/>
      <c r="Y26" s="991"/>
      <c r="Z26" s="938"/>
      <c r="AA26" s="976"/>
      <c r="AB26" s="938"/>
      <c r="AC26" s="991"/>
      <c r="AD26" s="938"/>
      <c r="AE26" s="994"/>
      <c r="AF26" s="997"/>
      <c r="AG26" s="953"/>
      <c r="AH26" s="614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53"/>
      <c r="AH27" s="614"/>
    </row>
    <row r="28" spans="1:34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991"/>
      <c r="Z28" s="938"/>
      <c r="AA28" s="976"/>
      <c r="AB28" s="938"/>
      <c r="AC28" s="991"/>
      <c r="AD28" s="938"/>
      <c r="AE28" s="994"/>
      <c r="AF28" s="997"/>
      <c r="AG28" s="953"/>
      <c r="AH28" s="614"/>
    </row>
    <row r="29" spans="1:34" x14ac:dyDescent="0.25">
      <c r="A29" s="681"/>
      <c r="B29" s="979"/>
      <c r="C29" s="946"/>
      <c r="D29" s="618"/>
      <c r="E29" s="979"/>
      <c r="F29" s="953"/>
      <c r="G29" s="976"/>
      <c r="H29" s="953"/>
      <c r="I29" s="618"/>
      <c r="J29" s="979"/>
      <c r="K29" s="953"/>
      <c r="L29" s="960"/>
      <c r="M29" s="982"/>
      <c r="N29" s="953"/>
      <c r="O29" s="976"/>
      <c r="P29" s="946"/>
      <c r="Q29" s="986"/>
      <c r="R29" s="938"/>
      <c r="S29" s="976"/>
      <c r="T29" s="938"/>
      <c r="U29" s="986"/>
      <c r="V29" s="938"/>
      <c r="W29" s="991"/>
      <c r="X29" s="938"/>
      <c r="Y29" s="991"/>
      <c r="Z29" s="938"/>
      <c r="AA29" s="976"/>
      <c r="AB29" s="938"/>
      <c r="AC29" s="991"/>
      <c r="AD29" s="938"/>
      <c r="AE29" s="994"/>
      <c r="AF29" s="997"/>
      <c r="AG29" s="953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76"/>
      <c r="AB30" s="938"/>
      <c r="AC30" s="991"/>
      <c r="AD30" s="938"/>
      <c r="AE30" s="994"/>
      <c r="AF30" s="997"/>
      <c r="AG30" s="95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76"/>
      <c r="AB31" s="938"/>
      <c r="AC31" s="991"/>
      <c r="AD31" s="938"/>
      <c r="AE31" s="994"/>
      <c r="AF31" s="997"/>
      <c r="AG31" s="95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>
        <v>100</v>
      </c>
      <c r="R32" s="938">
        <v>44589</v>
      </c>
      <c r="S32" s="976"/>
      <c r="T32" s="938"/>
      <c r="U32" s="986"/>
      <c r="V32" s="938"/>
      <c r="W32" s="991"/>
      <c r="X32" s="938"/>
      <c r="Y32" s="991"/>
      <c r="Z32" s="938"/>
      <c r="AA32" s="976"/>
      <c r="AB32" s="938"/>
      <c r="AC32" s="991"/>
      <c r="AD32" s="938"/>
      <c r="AE32" s="994"/>
      <c r="AF32" s="997"/>
      <c r="AG32" s="953"/>
      <c r="AH32" s="614"/>
    </row>
    <row r="33" spans="1:34" ht="15.75" thickBot="1" x14ac:dyDescent="0.3">
      <c r="A33" s="682"/>
      <c r="B33" s="1000"/>
      <c r="C33" s="948"/>
      <c r="D33" s="675"/>
      <c r="E33" s="999"/>
      <c r="F33" s="954"/>
      <c r="G33" s="977"/>
      <c r="H33" s="954"/>
      <c r="I33" s="624"/>
      <c r="J33" s="980"/>
      <c r="K33" s="958"/>
      <c r="L33" s="961"/>
      <c r="M33" s="983"/>
      <c r="N33" s="954"/>
      <c r="O33" s="985"/>
      <c r="P33" s="947"/>
      <c r="Q33" s="987"/>
      <c r="R33" s="939"/>
      <c r="S33" s="988"/>
      <c r="T33" s="940"/>
      <c r="U33" s="987"/>
      <c r="V33" s="939"/>
      <c r="W33" s="992"/>
      <c r="X33" s="939"/>
      <c r="Y33" s="992"/>
      <c r="Z33" s="939"/>
      <c r="AA33" s="977"/>
      <c r="AB33" s="939"/>
      <c r="AC33" s="992"/>
      <c r="AD33" s="939"/>
      <c r="AE33" s="995"/>
      <c r="AF33" s="998"/>
      <c r="AG33" s="954"/>
      <c r="AH33" s="614"/>
    </row>
    <row r="34" spans="1:34" ht="15.75" thickBot="1" x14ac:dyDescent="0.3">
      <c r="A34" s="1285" t="s">
        <v>102</v>
      </c>
      <c r="B34" s="1284"/>
      <c r="C34" s="1277"/>
      <c r="D34" s="669" t="s">
        <v>103</v>
      </c>
      <c r="E34" s="669" t="s">
        <v>61</v>
      </c>
      <c r="F34" s="955" t="s">
        <v>103</v>
      </c>
      <c r="G34" s="1276" t="s">
        <v>103</v>
      </c>
      <c r="H34" s="1277"/>
      <c r="I34" s="1286" t="s">
        <v>102</v>
      </c>
      <c r="J34" s="1287"/>
      <c r="K34" s="1288"/>
      <c r="L34" s="1283" t="s">
        <v>102</v>
      </c>
      <c r="M34" s="1284"/>
      <c r="N34" s="1277"/>
      <c r="O34" s="1286" t="s">
        <v>104</v>
      </c>
      <c r="P34" s="1288"/>
      <c r="Q34" s="1276" t="s">
        <v>104</v>
      </c>
      <c r="R34" s="1277"/>
      <c r="S34" s="1276" t="s">
        <v>104</v>
      </c>
      <c r="T34" s="1277"/>
      <c r="U34" s="1276" t="s">
        <v>104</v>
      </c>
      <c r="V34" s="1277"/>
      <c r="W34" s="1276" t="s">
        <v>104</v>
      </c>
      <c r="X34" s="1277"/>
      <c r="Y34" s="1276" t="s">
        <v>104</v>
      </c>
      <c r="Z34" s="1277"/>
      <c r="AA34" s="1276" t="s">
        <v>102</v>
      </c>
      <c r="AB34" s="1277"/>
      <c r="AC34" s="1276" t="s">
        <v>102</v>
      </c>
      <c r="AD34" s="1277"/>
      <c r="AE34" s="1283" t="s">
        <v>102</v>
      </c>
      <c r="AF34" s="1284"/>
      <c r="AG34" s="1277"/>
      <c r="AH34" s="614"/>
    </row>
    <row r="35" spans="1:34" x14ac:dyDescent="0.25">
      <c r="A35" s="872">
        <f>SUM(A3:A33)</f>
        <v>0</v>
      </c>
      <c r="B35" s="626"/>
      <c r="C35" s="949">
        <f>SUM(C3:C33)</f>
        <v>0</v>
      </c>
      <c r="D35" s="950">
        <f>SUM(D3:D33)</f>
        <v>0</v>
      </c>
      <c r="E35" s="629">
        <v>0</v>
      </c>
      <c r="F35" s="956">
        <f>SUM(F3:F33)</f>
        <v>0</v>
      </c>
      <c r="G35" s="936">
        <f>SUM(G3:G33)</f>
        <v>0</v>
      </c>
      <c r="H35" s="957">
        <f>SUM(H3:H33)</f>
        <v>0</v>
      </c>
      <c r="I35" s="936">
        <f>SUM(I3:I33)</f>
        <v>0</v>
      </c>
      <c r="J35" s="629"/>
      <c r="K35" s="957">
        <f>SUM(K3:K33)</f>
        <v>0</v>
      </c>
      <c r="L35" s="962">
        <f>SUM(L3:L33)</f>
        <v>0</v>
      </c>
      <c r="M35" s="873">
        <f>N3+N4+N5+N6+N7+N8+N9+N10</f>
        <v>0</v>
      </c>
      <c r="N35" s="956">
        <f>N27+N28+N29+N30+N31+N32+N33</f>
        <v>0</v>
      </c>
      <c r="O35" s="942">
        <f>O3+O5</f>
        <v>910</v>
      </c>
      <c r="P35" s="943" t="s">
        <v>395</v>
      </c>
      <c r="Q35" s="944">
        <f>SUM(Q3:Q33)-Q32</f>
        <v>1420</v>
      </c>
      <c r="R35" s="934" t="s">
        <v>103</v>
      </c>
      <c r="S35" s="942">
        <f>SUM(S3:S33)</f>
        <v>300</v>
      </c>
      <c r="T35" s="934" t="s">
        <v>103</v>
      </c>
      <c r="U35" s="942">
        <f>SUM(U3:U33)</f>
        <v>350</v>
      </c>
      <c r="V35" s="934" t="s">
        <v>103</v>
      </c>
      <c r="W35" s="1039">
        <f>SUM(W3:W33)</f>
        <v>200</v>
      </c>
      <c r="X35" s="934" t="s">
        <v>103</v>
      </c>
      <c r="Y35" s="941">
        <f>SUM(Y3:Y33)</f>
        <v>0</v>
      </c>
      <c r="Z35" s="934" t="s">
        <v>103</v>
      </c>
      <c r="AA35" s="942">
        <f>SUM(AA3:AA33)</f>
        <v>0</v>
      </c>
      <c r="AB35" s="934" t="s">
        <v>103</v>
      </c>
      <c r="AC35" s="942">
        <f>SUM(AC3:AC33)</f>
        <v>0</v>
      </c>
      <c r="AD35" s="934" t="s">
        <v>103</v>
      </c>
      <c r="AE35" s="962">
        <f>SUM(AE3:AE33)</f>
        <v>0</v>
      </c>
      <c r="AF35" s="629"/>
      <c r="AG35" s="957">
        <f>SUM(AG3:AG33)</f>
        <v>3500</v>
      </c>
      <c r="AH35" s="614"/>
    </row>
    <row r="36" spans="1:34" ht="15.75" thickBot="1" x14ac:dyDescent="0.3">
      <c r="A36" s="634"/>
      <c r="B36" s="635"/>
      <c r="C36" s="935"/>
      <c r="D36" s="951"/>
      <c r="E36" s="635"/>
      <c r="F36" s="935"/>
      <c r="G36" s="951"/>
      <c r="H36" s="935"/>
      <c r="I36" s="951"/>
      <c r="J36" s="635"/>
      <c r="K36" s="935"/>
      <c r="L36" s="951"/>
      <c r="M36" s="635" t="s">
        <v>49</v>
      </c>
      <c r="N36" s="935" t="s">
        <v>46</v>
      </c>
      <c r="O36" s="1023">
        <v>0</v>
      </c>
      <c r="P36" s="935" t="s">
        <v>440</v>
      </c>
      <c r="Q36" s="1023">
        <v>0</v>
      </c>
      <c r="R36" s="935" t="s">
        <v>437</v>
      </c>
      <c r="S36" s="1023">
        <v>0</v>
      </c>
      <c r="T36" s="935" t="s">
        <v>437</v>
      </c>
      <c r="U36" s="1023">
        <v>0</v>
      </c>
      <c r="V36" s="935" t="s">
        <v>437</v>
      </c>
      <c r="W36" s="1040">
        <v>0</v>
      </c>
      <c r="X36" s="935" t="s">
        <v>437</v>
      </c>
      <c r="Y36" s="1024">
        <v>0</v>
      </c>
      <c r="Z36" s="935" t="s">
        <v>437</v>
      </c>
      <c r="AA36" s="1024">
        <v>0</v>
      </c>
      <c r="AB36" s="935" t="s">
        <v>437</v>
      </c>
      <c r="AC36" s="1024">
        <v>0</v>
      </c>
      <c r="AD36" s="935" t="s">
        <v>437</v>
      </c>
      <c r="AE36" s="951"/>
      <c r="AF36" s="635"/>
      <c r="AG36" s="935"/>
      <c r="AH36" s="614"/>
    </row>
    <row r="37" spans="1:34" ht="15.75" thickBot="1" x14ac:dyDescent="0.3">
      <c r="A37" s="969"/>
      <c r="B37" s="970"/>
      <c r="C37" s="971"/>
      <c r="D37" s="972"/>
      <c r="E37" s="970"/>
      <c r="F37" s="971"/>
      <c r="G37" s="972"/>
      <c r="H37" s="971"/>
      <c r="I37" s="972"/>
      <c r="J37" s="970"/>
      <c r="K37" s="971"/>
      <c r="L37" s="972"/>
      <c r="M37" s="970"/>
      <c r="N37" s="971"/>
      <c r="O37" s="973">
        <f>O35-O36</f>
        <v>910</v>
      </c>
      <c r="P37" s="971" t="s">
        <v>439</v>
      </c>
      <c r="Q37" s="973">
        <f>Q35-Q36</f>
        <v>1420</v>
      </c>
      <c r="R37" s="971" t="s">
        <v>439</v>
      </c>
      <c r="S37" s="973">
        <f>S35-S36</f>
        <v>300</v>
      </c>
      <c r="T37" s="971" t="s">
        <v>439</v>
      </c>
      <c r="U37" s="973">
        <f>U35-U36</f>
        <v>350</v>
      </c>
      <c r="V37" s="971" t="s">
        <v>439</v>
      </c>
      <c r="W37" s="1041">
        <f>W35-W36</f>
        <v>200</v>
      </c>
      <c r="X37" s="971" t="s">
        <v>439</v>
      </c>
      <c r="Y37" s="1025">
        <f>Y35-Y36</f>
        <v>0</v>
      </c>
      <c r="Z37" s="971" t="s">
        <v>439</v>
      </c>
      <c r="AA37" s="1021">
        <f>AA35-AA36</f>
        <v>0</v>
      </c>
      <c r="AB37" s="971" t="s">
        <v>439</v>
      </c>
      <c r="AC37" s="1022">
        <f>AC35-AC36</f>
        <v>0</v>
      </c>
      <c r="AD37" s="971" t="s">
        <v>439</v>
      </c>
      <c r="AE37" s="972"/>
      <c r="AF37" s="970"/>
      <c r="AG37" s="971"/>
      <c r="AH37" s="614"/>
    </row>
    <row r="38" spans="1:34" ht="15.75" thickTop="1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/>
      <c r="P38" s="610"/>
      <c r="Q38" s="1030"/>
      <c r="R38" s="1031"/>
      <c r="S38" s="1032"/>
      <c r="T38" s="610"/>
      <c r="U38" s="610"/>
      <c r="V38" s="610"/>
      <c r="W38" s="610"/>
      <c r="X38" s="610"/>
      <c r="Y38" s="610"/>
      <c r="Z38" s="610"/>
      <c r="AA38" s="610"/>
      <c r="AB38" s="610"/>
      <c r="AC38" s="610"/>
      <c r="AD38" s="610"/>
      <c r="AE38" s="610"/>
      <c r="AF38" s="610"/>
      <c r="AG38" s="610"/>
    </row>
    <row r="39" spans="1:34" x14ac:dyDescent="0.25">
      <c r="Q39" s="1033"/>
      <c r="R39" s="1034"/>
      <c r="S39" s="1035"/>
    </row>
    <row r="40" spans="1:34" x14ac:dyDescent="0.25">
      <c r="Q40" s="1033"/>
      <c r="R40" s="1034"/>
      <c r="S40" s="1035"/>
    </row>
    <row r="41" spans="1:34" x14ac:dyDescent="0.25">
      <c r="Q41" s="1033"/>
      <c r="R41" s="1034"/>
      <c r="S41" s="1035"/>
    </row>
    <row r="42" spans="1:34" x14ac:dyDescent="0.25">
      <c r="Q42" s="1033"/>
      <c r="R42" s="1033"/>
      <c r="S42" s="1035"/>
    </row>
    <row r="43" spans="1:34" x14ac:dyDescent="0.25">
      <c r="Q43" s="1036"/>
      <c r="R43" s="1034"/>
      <c r="S43" s="1035"/>
    </row>
    <row r="44" spans="1:34" x14ac:dyDescent="0.25">
      <c r="Q44" s="1035"/>
      <c r="R44" s="1035"/>
      <c r="S44" s="1035"/>
    </row>
    <row r="45" spans="1:34" x14ac:dyDescent="0.25">
      <c r="Q45" s="1035"/>
      <c r="R45" s="1037"/>
      <c r="S45" s="1035"/>
    </row>
    <row r="46" spans="1:34" x14ac:dyDescent="0.25">
      <c r="Q46" s="1035"/>
      <c r="R46" s="1037"/>
      <c r="S46" s="1035"/>
    </row>
    <row r="47" spans="1:34" x14ac:dyDescent="0.25">
      <c r="Q47" s="1035"/>
      <c r="R47" s="1035"/>
      <c r="S47" s="1035"/>
    </row>
    <row r="48" spans="1:34" x14ac:dyDescent="0.25">
      <c r="Q48" s="1035"/>
      <c r="R48" s="1035"/>
      <c r="S48" s="1035"/>
    </row>
    <row r="49" spans="17:19" x14ac:dyDescent="0.25">
      <c r="Q49" s="1035"/>
      <c r="R49" s="1035"/>
      <c r="S49" s="1035"/>
    </row>
    <row r="50" spans="17:19" x14ac:dyDescent="0.25">
      <c r="Q50" s="1038"/>
      <c r="R50" s="1035"/>
      <c r="S50" s="1035"/>
    </row>
    <row r="51" spans="17:19" x14ac:dyDescent="0.25">
      <c r="Q51" s="1035"/>
      <c r="R51" s="1035"/>
      <c r="S51" s="1035"/>
    </row>
    <row r="52" spans="17:19" x14ac:dyDescent="0.25">
      <c r="R52" s="827"/>
    </row>
  </sheetData>
  <mergeCells count="25">
    <mergeCell ref="A34:C34"/>
    <mergeCell ref="G34:H34"/>
    <mergeCell ref="I34:K34"/>
    <mergeCell ref="L34:N34"/>
    <mergeCell ref="O34:P34"/>
    <mergeCell ref="Q34:R34"/>
    <mergeCell ref="AE1:AG1"/>
    <mergeCell ref="AH1:AI1"/>
    <mergeCell ref="AJ1:AK1"/>
    <mergeCell ref="AH4:AI4"/>
    <mergeCell ref="AJ4:AK4"/>
    <mergeCell ref="AH9:AI9"/>
    <mergeCell ref="Q1:AD1"/>
    <mergeCell ref="AE34:AG34"/>
    <mergeCell ref="S34:T34"/>
    <mergeCell ref="U34:V34"/>
    <mergeCell ref="W34:X34"/>
    <mergeCell ref="Y34:Z34"/>
    <mergeCell ref="AA34:AB34"/>
    <mergeCell ref="AC34:AD34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AE024-1820-AC43-9D3F-A2701AEE72A3}">
  <dimension ref="A1:AK52"/>
  <sheetViews>
    <sheetView zoomScaleNormal="60" zoomScaleSheetLayoutView="100" workbookViewId="0">
      <selection activeCell="B5" sqref="B5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9.5703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9.42578125" customWidth="1"/>
    <col min="18" max="18" width="10.5703125" bestFit="1" customWidth="1"/>
    <col min="19" max="19" width="9.42578125" bestFit="1" customWidth="1"/>
    <col min="20" max="20" width="10.28515625" bestFit="1" customWidth="1"/>
    <col min="21" max="21" width="13.140625" customWidth="1"/>
    <col min="22" max="22" width="10.28515625" bestFit="1" customWidth="1"/>
    <col min="23" max="26" width="10.28515625" customWidth="1"/>
    <col min="27" max="27" width="12.7109375" customWidth="1"/>
    <col min="28" max="28" width="10.28515625" bestFit="1" customWidth="1"/>
    <col min="29" max="29" width="9.140625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449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55</v>
      </c>
      <c r="R2" s="966" t="s">
        <v>441</v>
      </c>
      <c r="S2" s="967" t="s">
        <v>406</v>
      </c>
      <c r="T2" s="966" t="s">
        <v>442</v>
      </c>
      <c r="U2" s="964" t="s">
        <v>467</v>
      </c>
      <c r="V2" s="966" t="s">
        <v>443</v>
      </c>
      <c r="W2" s="964" t="s">
        <v>468</v>
      </c>
      <c r="X2" s="966" t="s">
        <v>444</v>
      </c>
      <c r="Y2" s="964" t="s">
        <v>469</v>
      </c>
      <c r="Z2" s="966" t="s">
        <v>445</v>
      </c>
      <c r="AA2" s="964" t="s">
        <v>470</v>
      </c>
      <c r="AB2" s="966" t="s">
        <v>446</v>
      </c>
      <c r="AC2" s="964" t="s">
        <v>471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>
        <v>986</v>
      </c>
      <c r="B3" s="979">
        <v>44604</v>
      </c>
      <c r="C3" s="945"/>
      <c r="D3" s="619">
        <v>109.21</v>
      </c>
      <c r="E3" s="979">
        <v>44605</v>
      </c>
      <c r="F3" s="952"/>
      <c r="G3" s="975"/>
      <c r="H3" s="952">
        <v>1.1000000000000001</v>
      </c>
      <c r="I3" s="619"/>
      <c r="J3" s="978"/>
      <c r="K3" s="952"/>
      <c r="L3" s="959"/>
      <c r="M3" s="981" t="s">
        <v>472</v>
      </c>
      <c r="N3" s="952">
        <v>18.25</v>
      </c>
      <c r="O3" s="984">
        <f t="shared" ref="O3" si="0">AG35-AK6-AI3</f>
        <v>265.21000000000004</v>
      </c>
      <c r="P3" s="945"/>
      <c r="Q3" s="984">
        <v>50</v>
      </c>
      <c r="R3" s="937">
        <v>44606</v>
      </c>
      <c r="S3" s="984">
        <v>150</v>
      </c>
      <c r="T3" s="937">
        <v>44628</v>
      </c>
      <c r="U3" s="984">
        <v>50</v>
      </c>
      <c r="V3" s="937">
        <v>44606</v>
      </c>
      <c r="W3" s="989">
        <v>50</v>
      </c>
      <c r="X3" s="937">
        <v>44606</v>
      </c>
      <c r="Y3" s="989"/>
      <c r="Z3" s="937"/>
      <c r="AA3" s="984"/>
      <c r="AB3" s="937"/>
      <c r="AC3" s="989"/>
      <c r="AD3" s="937"/>
      <c r="AE3" s="993"/>
      <c r="AF3" s="996" t="s">
        <v>119</v>
      </c>
      <c r="AG3" s="968">
        <v>320</v>
      </c>
      <c r="AH3" s="299">
        <v>0</v>
      </c>
      <c r="AI3" s="300">
        <v>0</v>
      </c>
      <c r="AJ3" s="301">
        <f>AH6+AJ6</f>
        <v>4380.67</v>
      </c>
      <c r="AK3" s="302">
        <f>AK6+AI6</f>
        <v>2046.98</v>
      </c>
    </row>
    <row r="4" spans="1:37" ht="19.5" thickBot="1" x14ac:dyDescent="0.3">
      <c r="A4" s="681">
        <v>273.23</v>
      </c>
      <c r="B4" s="979">
        <v>44605</v>
      </c>
      <c r="C4" s="946"/>
      <c r="D4" s="618"/>
      <c r="E4" s="1043">
        <v>44612</v>
      </c>
      <c r="F4" s="953">
        <v>100</v>
      </c>
      <c r="G4" s="976"/>
      <c r="H4" s="953">
        <v>4.3</v>
      </c>
      <c r="I4" s="618"/>
      <c r="J4" s="979"/>
      <c r="K4" s="953"/>
      <c r="L4" s="960"/>
      <c r="M4" s="982" t="s">
        <v>473</v>
      </c>
      <c r="N4" s="953">
        <v>26.8</v>
      </c>
      <c r="O4" s="976"/>
      <c r="P4" s="946"/>
      <c r="Q4" s="986">
        <v>150</v>
      </c>
      <c r="R4" s="938">
        <v>44610</v>
      </c>
      <c r="S4" s="986"/>
      <c r="T4" s="938"/>
      <c r="U4" s="986">
        <v>20</v>
      </c>
      <c r="V4" s="938">
        <v>44608</v>
      </c>
      <c r="W4" s="990">
        <v>50</v>
      </c>
      <c r="X4" s="938">
        <v>44614</v>
      </c>
      <c r="Y4" s="990"/>
      <c r="Z4" s="938"/>
      <c r="AA4" s="986"/>
      <c r="AB4" s="938"/>
      <c r="AC4" s="990"/>
      <c r="AD4" s="938"/>
      <c r="AE4" s="994"/>
      <c r="AF4" s="997">
        <v>44610</v>
      </c>
      <c r="AG4" s="963">
        <v>900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81">
        <v>3121.44</v>
      </c>
      <c r="B5" s="979">
        <v>44605</v>
      </c>
      <c r="C5" s="946"/>
      <c r="D5" s="618">
        <v>90.28</v>
      </c>
      <c r="E5" s="979">
        <v>44618</v>
      </c>
      <c r="F5" s="953"/>
      <c r="G5" s="976"/>
      <c r="H5" s="953">
        <v>3.3</v>
      </c>
      <c r="I5" s="618"/>
      <c r="J5" s="979"/>
      <c r="K5" s="953"/>
      <c r="L5" s="960"/>
      <c r="M5" s="982" t="s">
        <v>474</v>
      </c>
      <c r="N5" s="953">
        <v>7.99</v>
      </c>
      <c r="O5" s="976"/>
      <c r="P5" s="946"/>
      <c r="Q5" s="986">
        <v>100</v>
      </c>
      <c r="R5" s="938">
        <v>44618</v>
      </c>
      <c r="S5" s="986"/>
      <c r="T5" s="938"/>
      <c r="U5" s="986">
        <v>50</v>
      </c>
      <c r="V5" s="938">
        <v>44610</v>
      </c>
      <c r="W5" s="990">
        <v>50</v>
      </c>
      <c r="X5" s="938">
        <v>44617</v>
      </c>
      <c r="Y5" s="990"/>
      <c r="Z5" s="938"/>
      <c r="AA5" s="986"/>
      <c r="AB5" s="938"/>
      <c r="AC5" s="990"/>
      <c r="AD5" s="938"/>
      <c r="AE5" s="994"/>
      <c r="AF5" s="997">
        <v>44625</v>
      </c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81"/>
      <c r="B6" s="979"/>
      <c r="C6" s="946"/>
      <c r="D6" s="618">
        <v>174.77</v>
      </c>
      <c r="E6" s="979">
        <v>44630</v>
      </c>
      <c r="F6" s="953"/>
      <c r="G6" s="976"/>
      <c r="H6" s="953">
        <v>2.2999999999999998</v>
      </c>
      <c r="I6" s="618"/>
      <c r="J6" s="979"/>
      <c r="K6" s="953"/>
      <c r="L6" s="960"/>
      <c r="M6" s="982" t="s">
        <v>482</v>
      </c>
      <c r="N6" s="953">
        <v>39</v>
      </c>
      <c r="O6" s="976"/>
      <c r="P6" s="946"/>
      <c r="Q6" s="986">
        <v>100</v>
      </c>
      <c r="R6" s="938">
        <v>44625</v>
      </c>
      <c r="S6" s="986"/>
      <c r="T6" s="938"/>
      <c r="U6" s="986">
        <v>100</v>
      </c>
      <c r="V6" s="938">
        <v>44613</v>
      </c>
      <c r="W6" s="990">
        <v>100</v>
      </c>
      <c r="X6" s="938">
        <v>44621</v>
      </c>
      <c r="Y6" s="990"/>
      <c r="Z6" s="938"/>
      <c r="AA6" s="986"/>
      <c r="AB6" s="938"/>
      <c r="AC6" s="990"/>
      <c r="AD6" s="938"/>
      <c r="AE6" s="994"/>
      <c r="AF6" s="997"/>
      <c r="AG6" s="963"/>
      <c r="AH6" s="612">
        <f>A35+L35</f>
        <v>4380.67</v>
      </c>
      <c r="AI6" s="317">
        <f>D35+H35+K35+N35</f>
        <v>592.19000000000005</v>
      </c>
      <c r="AJ6" s="128">
        <f>L36+C35</f>
        <v>0</v>
      </c>
      <c r="AK6" s="129">
        <f>F35+G35+I35+M35+Q35+S35+U35+W35+Y35+AA35+AC35</f>
        <v>1454.79</v>
      </c>
    </row>
    <row r="7" spans="1:37" ht="19.5" thickBot="1" x14ac:dyDescent="0.3">
      <c r="A7" s="681"/>
      <c r="B7" s="979"/>
      <c r="C7" s="946"/>
      <c r="D7" s="618">
        <v>137.58000000000001</v>
      </c>
      <c r="E7" s="979">
        <v>44630</v>
      </c>
      <c r="F7" s="953"/>
      <c r="G7" s="976"/>
      <c r="H7" s="953">
        <v>5.2</v>
      </c>
      <c r="I7" s="618"/>
      <c r="J7" s="979"/>
      <c r="K7" s="953"/>
      <c r="L7" s="960"/>
      <c r="M7" s="982"/>
      <c r="N7" s="953"/>
      <c r="O7" s="976"/>
      <c r="P7" s="946"/>
      <c r="Q7" s="986"/>
      <c r="R7" s="938"/>
      <c r="S7" s="986"/>
      <c r="T7" s="938"/>
      <c r="U7" s="986">
        <v>100</v>
      </c>
      <c r="V7" s="938">
        <v>44621</v>
      </c>
      <c r="W7" s="990">
        <v>100</v>
      </c>
      <c r="X7" s="938">
        <v>44625</v>
      </c>
      <c r="Y7" s="990"/>
      <c r="Z7" s="938"/>
      <c r="AA7" s="986"/>
      <c r="AB7" s="938"/>
      <c r="AC7" s="990"/>
      <c r="AD7" s="938"/>
      <c r="AE7" s="994"/>
      <c r="AF7" s="997"/>
      <c r="AG7" s="963"/>
      <c r="AH7" s="613" t="s">
        <v>66</v>
      </c>
      <c r="AI7" s="321" t="s">
        <v>67</v>
      </c>
    </row>
    <row r="8" spans="1:37" x14ac:dyDescent="0.25">
      <c r="A8" s="681"/>
      <c r="B8" s="979"/>
      <c r="C8" s="946"/>
      <c r="D8" s="618"/>
      <c r="E8" s="979"/>
      <c r="F8" s="953"/>
      <c r="G8" s="976"/>
      <c r="H8" s="1044">
        <v>6.9</v>
      </c>
      <c r="I8" s="618"/>
      <c r="J8" s="979"/>
      <c r="K8" s="953"/>
      <c r="L8" s="960"/>
      <c r="M8" s="982"/>
      <c r="N8" s="963"/>
      <c r="O8" s="976"/>
      <c r="P8" s="946"/>
      <c r="Q8" s="986"/>
      <c r="R8" s="938"/>
      <c r="S8" s="976"/>
      <c r="T8" s="938"/>
      <c r="U8" s="986">
        <v>40</v>
      </c>
      <c r="V8" s="938">
        <v>44624</v>
      </c>
      <c r="W8" s="990"/>
      <c r="X8" s="938"/>
      <c r="Y8" s="990"/>
      <c r="Z8" s="938"/>
      <c r="AA8" s="986"/>
      <c r="AB8" s="938"/>
      <c r="AC8" s="990"/>
      <c r="AD8" s="938"/>
      <c r="AE8" s="994"/>
      <c r="AF8" s="997"/>
      <c r="AG8" s="963"/>
      <c r="AH8" s="326">
        <v>0</v>
      </c>
      <c r="AI8" s="327">
        <f>E35</f>
        <v>0</v>
      </c>
    </row>
    <row r="9" spans="1:37" ht="15.75" thickBot="1" x14ac:dyDescent="0.3">
      <c r="A9" s="681"/>
      <c r="B9" s="979"/>
      <c r="C9" s="946"/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/>
      <c r="R9" s="938"/>
      <c r="S9" s="976"/>
      <c r="T9" s="938"/>
      <c r="U9" s="986">
        <v>60</v>
      </c>
      <c r="V9" s="938"/>
      <c r="W9" s="990"/>
      <c r="X9" s="938"/>
      <c r="Y9" s="990"/>
      <c r="Z9" s="938"/>
      <c r="AA9" s="986"/>
      <c r="AB9" s="938"/>
      <c r="AC9" s="990"/>
      <c r="AD9" s="938"/>
      <c r="AE9" s="994"/>
      <c r="AF9" s="997"/>
      <c r="AG9" s="963"/>
      <c r="AH9" s="1244">
        <f>AH8-AI8</f>
        <v>0</v>
      </c>
      <c r="AI9" s="1222"/>
    </row>
    <row r="10" spans="1:37" x14ac:dyDescent="0.25">
      <c r="A10" s="681"/>
      <c r="B10" s="979"/>
      <c r="C10" s="946"/>
      <c r="D10" s="618"/>
      <c r="E10" s="979"/>
      <c r="F10" s="953"/>
      <c r="G10" s="976"/>
      <c r="H10" s="953"/>
      <c r="I10" s="618"/>
      <c r="J10" s="979"/>
      <c r="K10" s="953"/>
      <c r="L10" s="960"/>
      <c r="M10" s="982"/>
      <c r="N10" s="953"/>
      <c r="O10" s="976"/>
      <c r="P10" s="946"/>
      <c r="Q10" s="986"/>
      <c r="R10" s="938"/>
      <c r="S10" s="976"/>
      <c r="T10" s="938"/>
      <c r="U10" s="986"/>
      <c r="V10" s="938"/>
      <c r="W10" s="990"/>
      <c r="X10" s="938"/>
      <c r="Y10" s="990"/>
      <c r="Z10" s="938"/>
      <c r="AA10" s="976"/>
      <c r="AB10" s="938"/>
      <c r="AC10" s="991"/>
      <c r="AD10" s="938"/>
      <c r="AE10" s="994"/>
      <c r="AF10" s="997"/>
      <c r="AG10" s="963"/>
      <c r="AH10" s="610"/>
    </row>
    <row r="11" spans="1:37" x14ac:dyDescent="0.25">
      <c r="A11" s="681"/>
      <c r="B11" s="979"/>
      <c r="C11" s="946"/>
      <c r="D11" s="618"/>
      <c r="E11" s="979"/>
      <c r="F11" s="953"/>
      <c r="G11" s="976"/>
      <c r="H11" s="953"/>
      <c r="I11" s="618"/>
      <c r="J11" s="979"/>
      <c r="K11" s="953"/>
      <c r="L11" s="960"/>
      <c r="M11" s="982"/>
      <c r="N11" s="963"/>
      <c r="O11" s="976"/>
      <c r="P11" s="946"/>
      <c r="Q11" s="986"/>
      <c r="R11" s="938"/>
      <c r="S11" s="976"/>
      <c r="T11" s="938"/>
      <c r="U11" s="986"/>
      <c r="V11" s="938"/>
      <c r="W11" s="990"/>
      <c r="X11" s="938"/>
      <c r="Y11" s="990"/>
      <c r="Z11" s="938"/>
      <c r="AA11" s="976"/>
      <c r="AB11" s="938"/>
      <c r="AC11" s="991"/>
      <c r="AD11" s="938"/>
      <c r="AE11" s="994"/>
      <c r="AF11" s="997"/>
      <c r="AG11" s="963"/>
      <c r="AH11" s="610"/>
    </row>
    <row r="12" spans="1:37" x14ac:dyDescent="0.25">
      <c r="A12" s="681"/>
      <c r="B12" s="979"/>
      <c r="C12" s="946"/>
      <c r="D12" s="618"/>
      <c r="E12" s="979"/>
      <c r="F12" s="953"/>
      <c r="G12" s="976"/>
      <c r="H12" s="953"/>
      <c r="I12" s="618"/>
      <c r="J12" s="979"/>
      <c r="K12" s="953"/>
      <c r="L12" s="960"/>
      <c r="M12" s="982"/>
      <c r="N12" s="953"/>
      <c r="O12" s="976"/>
      <c r="P12" s="946"/>
      <c r="Q12" s="986"/>
      <c r="R12" s="938"/>
      <c r="S12" s="976"/>
      <c r="T12" s="938"/>
      <c r="U12" s="986"/>
      <c r="V12" s="938"/>
      <c r="W12" s="990"/>
      <c r="X12" s="938"/>
      <c r="Y12" s="990"/>
      <c r="Z12" s="938"/>
      <c r="AA12" s="976"/>
      <c r="AB12" s="938"/>
      <c r="AC12" s="991"/>
      <c r="AD12" s="938"/>
      <c r="AE12" s="994"/>
      <c r="AF12" s="997"/>
      <c r="AG12" s="963"/>
      <c r="AH12" s="610"/>
    </row>
    <row r="13" spans="1:37" x14ac:dyDescent="0.25">
      <c r="A13" s="681"/>
      <c r="B13" s="979"/>
      <c r="C13" s="946"/>
      <c r="D13" s="618"/>
      <c r="E13" s="979"/>
      <c r="F13" s="953"/>
      <c r="G13" s="976"/>
      <c r="H13" s="953"/>
      <c r="I13" s="618"/>
      <c r="J13" s="979"/>
      <c r="K13" s="953"/>
      <c r="L13" s="960"/>
      <c r="M13" s="982"/>
      <c r="N13" s="953"/>
      <c r="O13" s="976"/>
      <c r="P13" s="946"/>
      <c r="Q13" s="986"/>
      <c r="R13" s="938"/>
      <c r="S13" s="976"/>
      <c r="T13" s="938"/>
      <c r="U13" s="986"/>
      <c r="V13" s="938"/>
      <c r="W13" s="990"/>
      <c r="X13" s="938"/>
      <c r="Y13" s="990"/>
      <c r="Z13" s="938"/>
      <c r="AA13" s="976"/>
      <c r="AB13" s="938"/>
      <c r="AC13" s="991"/>
      <c r="AD13" s="938"/>
      <c r="AE13" s="994"/>
      <c r="AF13" s="997"/>
      <c r="AG13" s="963"/>
      <c r="AH13" s="610"/>
    </row>
    <row r="14" spans="1:37" x14ac:dyDescent="0.25">
      <c r="A14" s="681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/>
      <c r="X14" s="938"/>
      <c r="Y14" s="990"/>
      <c r="Z14" s="938"/>
      <c r="AA14" s="976"/>
      <c r="AB14" s="938"/>
      <c r="AC14" s="991"/>
      <c r="AD14" s="938"/>
      <c r="AE14" s="994"/>
      <c r="AF14" s="997"/>
      <c r="AG14" s="953"/>
      <c r="AH14" s="610"/>
    </row>
    <row r="15" spans="1:37" x14ac:dyDescent="0.25">
      <c r="A15" s="681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53"/>
      <c r="O15" s="976"/>
      <c r="P15" s="946"/>
      <c r="Q15" s="986"/>
      <c r="R15" s="938"/>
      <c r="S15" s="976"/>
      <c r="T15" s="938"/>
      <c r="U15" s="986"/>
      <c r="V15" s="938"/>
      <c r="W15" s="991"/>
      <c r="X15" s="938"/>
      <c r="Y15" s="990"/>
      <c r="Z15" s="938"/>
      <c r="AA15" s="976"/>
      <c r="AB15" s="938"/>
      <c r="AC15" s="991"/>
      <c r="AD15" s="938"/>
      <c r="AE15" s="994"/>
      <c r="AF15" s="997"/>
      <c r="AG15" s="953"/>
      <c r="AH15" s="610"/>
    </row>
    <row r="16" spans="1:37" x14ac:dyDescent="0.25">
      <c r="A16" s="681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1"/>
      <c r="X16" s="938"/>
      <c r="Y16" s="990"/>
      <c r="Z16" s="938"/>
      <c r="AA16" s="976"/>
      <c r="AB16" s="938"/>
      <c r="AC16" s="991"/>
      <c r="AD16" s="938"/>
      <c r="AE16" s="994"/>
      <c r="AF16" s="997"/>
      <c r="AG16" s="953"/>
      <c r="AH16" s="610"/>
    </row>
    <row r="17" spans="1:34" x14ac:dyDescent="0.25">
      <c r="A17" s="681"/>
      <c r="B17" s="979"/>
      <c r="C17" s="946"/>
      <c r="D17" s="618"/>
      <c r="E17" s="979"/>
      <c r="F17" s="953"/>
      <c r="G17" s="976"/>
      <c r="H17" s="953"/>
      <c r="I17" s="618"/>
      <c r="J17" s="979"/>
      <c r="K17" s="953"/>
      <c r="L17" s="960"/>
      <c r="M17" s="982"/>
      <c r="N17" s="953"/>
      <c r="O17" s="976"/>
      <c r="P17" s="946"/>
      <c r="Q17" s="986"/>
      <c r="R17" s="938"/>
      <c r="S17" s="976"/>
      <c r="T17" s="938"/>
      <c r="U17" s="986"/>
      <c r="V17" s="938"/>
      <c r="W17" s="991"/>
      <c r="X17" s="938"/>
      <c r="Y17" s="990"/>
      <c r="Z17" s="938"/>
      <c r="AA17" s="976"/>
      <c r="AB17" s="938"/>
      <c r="AC17" s="991"/>
      <c r="AD17" s="938"/>
      <c r="AE17" s="994"/>
      <c r="AF17" s="997"/>
      <c r="AG17" s="953"/>
      <c r="AH17" s="610"/>
    </row>
    <row r="18" spans="1:34" x14ac:dyDescent="0.25">
      <c r="A18" s="681"/>
      <c r="B18" s="979"/>
      <c r="C18" s="946"/>
      <c r="D18" s="618"/>
      <c r="E18" s="979"/>
      <c r="F18" s="953"/>
      <c r="G18" s="976"/>
      <c r="H18" s="953"/>
      <c r="I18" s="618"/>
      <c r="J18" s="979"/>
      <c r="K18" s="953"/>
      <c r="L18" s="960"/>
      <c r="M18" s="982"/>
      <c r="N18" s="953"/>
      <c r="O18" s="976"/>
      <c r="P18" s="946"/>
      <c r="Q18" s="986"/>
      <c r="R18" s="938"/>
      <c r="S18" s="976"/>
      <c r="T18" s="938"/>
      <c r="U18" s="986"/>
      <c r="V18" s="938"/>
      <c r="W18" s="991"/>
      <c r="X18" s="938"/>
      <c r="Y18" s="991"/>
      <c r="Z18" s="938"/>
      <c r="AA18" s="976"/>
      <c r="AB18" s="938"/>
      <c r="AC18" s="991"/>
      <c r="AD18" s="938"/>
      <c r="AE18" s="994"/>
      <c r="AF18" s="997"/>
      <c r="AG18" s="953"/>
      <c r="AH18" s="610"/>
    </row>
    <row r="19" spans="1:34" x14ac:dyDescent="0.25">
      <c r="A19" s="681"/>
      <c r="B19" s="979"/>
      <c r="C19" s="946"/>
      <c r="D19" s="618"/>
      <c r="E19" s="979"/>
      <c r="F19" s="953"/>
      <c r="G19" s="976"/>
      <c r="H19" s="953"/>
      <c r="I19" s="618"/>
      <c r="J19" s="979"/>
      <c r="K19" s="953"/>
      <c r="L19" s="960"/>
      <c r="M19" s="982"/>
      <c r="N19" s="953"/>
      <c r="O19" s="976"/>
      <c r="P19" s="946"/>
      <c r="Q19" s="986"/>
      <c r="R19" s="938"/>
      <c r="S19" s="976"/>
      <c r="T19" s="938"/>
      <c r="U19" s="986"/>
      <c r="V19" s="938"/>
      <c r="W19" s="991"/>
      <c r="X19" s="938"/>
      <c r="Y19" s="991"/>
      <c r="Z19" s="938"/>
      <c r="AA19" s="976"/>
      <c r="AB19" s="938"/>
      <c r="AC19" s="991"/>
      <c r="AD19" s="938"/>
      <c r="AE19" s="994"/>
      <c r="AF19" s="997"/>
      <c r="AG19" s="953"/>
      <c r="AH19" s="614"/>
    </row>
    <row r="20" spans="1:34" x14ac:dyDescent="0.25">
      <c r="A20" s="681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1"/>
      <c r="X20" s="938"/>
      <c r="Y20" s="991"/>
      <c r="Z20" s="938"/>
      <c r="AA20" s="976"/>
      <c r="AB20" s="938"/>
      <c r="AC20" s="991"/>
      <c r="AD20" s="938"/>
      <c r="AE20" s="994"/>
      <c r="AF20" s="997"/>
      <c r="AG20" s="953"/>
      <c r="AH20" s="614"/>
    </row>
    <row r="21" spans="1:34" x14ac:dyDescent="0.25">
      <c r="A21" s="681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1"/>
      <c r="X21" s="938"/>
      <c r="Y21" s="991"/>
      <c r="Z21" s="938"/>
      <c r="AA21" s="976"/>
      <c r="AB21" s="938"/>
      <c r="AC21" s="991"/>
      <c r="AD21" s="938"/>
      <c r="AE21" s="994"/>
      <c r="AF21" s="997"/>
      <c r="AG21" s="953"/>
      <c r="AH21" s="614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1"/>
      <c r="Z22" s="938"/>
      <c r="AA22" s="976"/>
      <c r="AB22" s="938"/>
      <c r="AC22" s="991"/>
      <c r="AD22" s="938"/>
      <c r="AE22" s="994"/>
      <c r="AF22" s="997"/>
      <c r="AG22" s="953"/>
      <c r="AH22" s="614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1"/>
      <c r="Z23" s="938"/>
      <c r="AA23" s="976"/>
      <c r="AB23" s="938"/>
      <c r="AC23" s="991"/>
      <c r="AD23" s="938"/>
      <c r="AE23" s="994"/>
      <c r="AF23" s="997"/>
      <c r="AG23" s="953"/>
      <c r="AH23" s="614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1"/>
      <c r="Z24" s="938"/>
      <c r="AA24" s="976"/>
      <c r="AB24" s="938"/>
      <c r="AC24" s="991"/>
      <c r="AD24" s="938"/>
      <c r="AE24" s="994"/>
      <c r="AF24" s="997"/>
      <c r="AG24" s="953"/>
      <c r="AH24" s="614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1"/>
      <c r="Z25" s="938"/>
      <c r="AA25" s="976"/>
      <c r="AB25" s="938"/>
      <c r="AC25" s="991"/>
      <c r="AD25" s="938"/>
      <c r="AE25" s="994"/>
      <c r="AF25" s="997"/>
      <c r="AG25" s="953"/>
      <c r="AH25" s="614"/>
    </row>
    <row r="26" spans="1:34" x14ac:dyDescent="0.25">
      <c r="A26" s="681"/>
      <c r="B26" s="979"/>
      <c r="C26" s="946"/>
      <c r="D26" s="618"/>
      <c r="E26" s="979"/>
      <c r="F26" s="953"/>
      <c r="G26" s="976"/>
      <c r="H26" s="953"/>
      <c r="I26" s="618"/>
      <c r="J26" s="979"/>
      <c r="K26" s="953"/>
      <c r="L26" s="960"/>
      <c r="M26" s="982"/>
      <c r="N26" s="953"/>
      <c r="O26" s="976"/>
      <c r="P26" s="946"/>
      <c r="Q26" s="986"/>
      <c r="R26" s="938"/>
      <c r="S26" s="976"/>
      <c r="T26" s="938"/>
      <c r="U26" s="986"/>
      <c r="V26" s="938"/>
      <c r="W26" s="991"/>
      <c r="X26" s="938"/>
      <c r="Y26" s="991"/>
      <c r="Z26" s="938"/>
      <c r="AA26" s="976"/>
      <c r="AB26" s="938"/>
      <c r="AC26" s="991"/>
      <c r="AD26" s="938"/>
      <c r="AE26" s="994"/>
      <c r="AF26" s="997"/>
      <c r="AG26" s="953"/>
      <c r="AH26" s="614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53"/>
      <c r="AH27" s="614"/>
    </row>
    <row r="28" spans="1:34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991"/>
      <c r="Z28" s="938"/>
      <c r="AA28" s="976"/>
      <c r="AB28" s="938"/>
      <c r="AC28" s="991"/>
      <c r="AD28" s="938"/>
      <c r="AE28" s="994"/>
      <c r="AF28" s="997"/>
      <c r="AG28" s="953"/>
      <c r="AH28" s="614"/>
    </row>
    <row r="29" spans="1:34" x14ac:dyDescent="0.25">
      <c r="A29" s="681"/>
      <c r="B29" s="979"/>
      <c r="C29" s="946"/>
      <c r="D29" s="618"/>
      <c r="E29" s="979"/>
      <c r="F29" s="953"/>
      <c r="G29" s="976"/>
      <c r="H29" s="953"/>
      <c r="I29" s="618"/>
      <c r="J29" s="979"/>
      <c r="K29" s="953"/>
      <c r="L29" s="960"/>
      <c r="M29" s="982"/>
      <c r="N29" s="953"/>
      <c r="O29" s="976"/>
      <c r="P29" s="946"/>
      <c r="Q29" s="986"/>
      <c r="R29" s="938"/>
      <c r="S29" s="976"/>
      <c r="T29" s="938"/>
      <c r="U29" s="986"/>
      <c r="V29" s="938"/>
      <c r="W29" s="991"/>
      <c r="X29" s="938"/>
      <c r="Y29" s="991"/>
      <c r="Z29" s="938"/>
      <c r="AA29" s="976"/>
      <c r="AB29" s="938"/>
      <c r="AC29" s="991"/>
      <c r="AD29" s="938"/>
      <c r="AE29" s="994"/>
      <c r="AF29" s="997"/>
      <c r="AG29" s="953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76"/>
      <c r="AB30" s="938"/>
      <c r="AC30" s="991"/>
      <c r="AD30" s="938"/>
      <c r="AE30" s="994"/>
      <c r="AF30" s="997"/>
      <c r="AG30" s="95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76"/>
      <c r="AB31" s="938"/>
      <c r="AC31" s="991"/>
      <c r="AD31" s="938"/>
      <c r="AE31" s="994"/>
      <c r="AF31" s="997"/>
      <c r="AG31" s="95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76"/>
      <c r="AB32" s="938"/>
      <c r="AC32" s="991"/>
      <c r="AD32" s="938"/>
      <c r="AE32" s="994"/>
      <c r="AF32" s="997"/>
      <c r="AG32" s="953"/>
      <c r="AH32" s="614"/>
    </row>
    <row r="33" spans="1:34" ht="15.75" thickBot="1" x14ac:dyDescent="0.3">
      <c r="A33" s="682"/>
      <c r="B33" s="1000"/>
      <c r="C33" s="948"/>
      <c r="D33" s="675"/>
      <c r="E33" s="999"/>
      <c r="F33" s="954"/>
      <c r="G33" s="977"/>
      <c r="H33" s="954"/>
      <c r="I33" s="624"/>
      <c r="J33" s="980"/>
      <c r="K33" s="958"/>
      <c r="L33" s="961"/>
      <c r="M33" s="983"/>
      <c r="N33" s="954"/>
      <c r="O33" s="985"/>
      <c r="P33" s="947"/>
      <c r="Q33" s="987"/>
      <c r="R33" s="939"/>
      <c r="S33" s="988"/>
      <c r="T33" s="940"/>
      <c r="U33" s="987"/>
      <c r="V33" s="939"/>
      <c r="W33" s="992"/>
      <c r="X33" s="939"/>
      <c r="Y33" s="992"/>
      <c r="Z33" s="939"/>
      <c r="AA33" s="977"/>
      <c r="AB33" s="939"/>
      <c r="AC33" s="992"/>
      <c r="AD33" s="939"/>
      <c r="AE33" s="995"/>
      <c r="AF33" s="998"/>
      <c r="AG33" s="954"/>
      <c r="AH33" s="614"/>
    </row>
    <row r="34" spans="1:34" ht="15.75" thickBot="1" x14ac:dyDescent="0.3">
      <c r="A34" s="1285" t="s">
        <v>102</v>
      </c>
      <c r="B34" s="1284"/>
      <c r="C34" s="1277"/>
      <c r="D34" s="669" t="s">
        <v>103</v>
      </c>
      <c r="E34" s="669" t="s">
        <v>61</v>
      </c>
      <c r="F34" s="955" t="s">
        <v>103</v>
      </c>
      <c r="G34" s="1276" t="s">
        <v>103</v>
      </c>
      <c r="H34" s="1277"/>
      <c r="I34" s="1286" t="s">
        <v>102</v>
      </c>
      <c r="J34" s="1287"/>
      <c r="K34" s="1288"/>
      <c r="L34" s="1283" t="s">
        <v>102</v>
      </c>
      <c r="M34" s="1284"/>
      <c r="N34" s="1277"/>
      <c r="O34" s="1286" t="s">
        <v>104</v>
      </c>
      <c r="P34" s="1288"/>
      <c r="Q34" s="1276" t="s">
        <v>104</v>
      </c>
      <c r="R34" s="1277"/>
      <c r="S34" s="1276" t="s">
        <v>104</v>
      </c>
      <c r="T34" s="1277"/>
      <c r="U34" s="1276" t="s">
        <v>104</v>
      </c>
      <c r="V34" s="1277"/>
      <c r="W34" s="1276" t="s">
        <v>104</v>
      </c>
      <c r="X34" s="1277"/>
      <c r="Y34" s="1276" t="s">
        <v>104</v>
      </c>
      <c r="Z34" s="1277"/>
      <c r="AA34" s="1276" t="s">
        <v>102</v>
      </c>
      <c r="AB34" s="1277"/>
      <c r="AC34" s="1276" t="s">
        <v>102</v>
      </c>
      <c r="AD34" s="1277"/>
      <c r="AE34" s="1283" t="s">
        <v>102</v>
      </c>
      <c r="AF34" s="1284"/>
      <c r="AG34" s="1277"/>
      <c r="AH34" s="614"/>
    </row>
    <row r="35" spans="1:34" x14ac:dyDescent="0.25">
      <c r="A35" s="872">
        <f>SUM(A3:A33)</f>
        <v>4380.67</v>
      </c>
      <c r="B35" s="626"/>
      <c r="C35" s="949">
        <f>SUM(C3:C33)</f>
        <v>0</v>
      </c>
      <c r="D35" s="950">
        <f>SUM(D3:D33)</f>
        <v>511.84000000000003</v>
      </c>
      <c r="E35" s="629">
        <v>0</v>
      </c>
      <c r="F35" s="956">
        <f>SUM(F3:F33)</f>
        <v>100</v>
      </c>
      <c r="G35" s="936">
        <f>SUM(G3:G33)</f>
        <v>0</v>
      </c>
      <c r="H35" s="957">
        <f>SUM(H3:H33)</f>
        <v>23.1</v>
      </c>
      <c r="I35" s="936">
        <f>SUM(I3:I33)</f>
        <v>0</v>
      </c>
      <c r="J35" s="629"/>
      <c r="K35" s="957">
        <f>SUM(K3:K33)</f>
        <v>0</v>
      </c>
      <c r="L35" s="962">
        <f>SUM(L3:L33)</f>
        <v>0</v>
      </c>
      <c r="M35" s="873">
        <f>N4+N5+N7+N8+N9+N10</f>
        <v>34.79</v>
      </c>
      <c r="N35" s="956">
        <f>N6+N3+N28+N29+N30+N31+N32+N33</f>
        <v>57.25</v>
      </c>
      <c r="O35" s="942">
        <f>O3+O5</f>
        <v>265.21000000000004</v>
      </c>
      <c r="P35" s="943" t="s">
        <v>395</v>
      </c>
      <c r="Q35" s="944">
        <f>SUM(Q3:Q33)</f>
        <v>400</v>
      </c>
      <c r="R35" s="934" t="s">
        <v>103</v>
      </c>
      <c r="S35" s="942">
        <f>SUM(S3:S33)</f>
        <v>150</v>
      </c>
      <c r="T35" s="934" t="s">
        <v>103</v>
      </c>
      <c r="U35" s="942">
        <f>SUM(U3:U33)</f>
        <v>420</v>
      </c>
      <c r="V35" s="934" t="s">
        <v>103</v>
      </c>
      <c r="W35" s="941">
        <f>SUM(W3:W33)</f>
        <v>350</v>
      </c>
      <c r="X35" s="934" t="s">
        <v>103</v>
      </c>
      <c r="Y35" s="941">
        <f>SUM(Y3:Y33)</f>
        <v>0</v>
      </c>
      <c r="Z35" s="934" t="s">
        <v>103</v>
      </c>
      <c r="AA35" s="942">
        <f>SUM(AA3:AA33)</f>
        <v>0</v>
      </c>
      <c r="AB35" s="934" t="s">
        <v>103</v>
      </c>
      <c r="AC35" s="942">
        <f>SUM(AC3:AC33)</f>
        <v>0</v>
      </c>
      <c r="AD35" s="934" t="s">
        <v>103</v>
      </c>
      <c r="AE35" s="962">
        <f>SUM(AE3:AE33)</f>
        <v>0</v>
      </c>
      <c r="AF35" s="629"/>
      <c r="AG35" s="957">
        <f>SUM(AG3:AG33)</f>
        <v>1720</v>
      </c>
      <c r="AH35" s="614"/>
    </row>
    <row r="36" spans="1:34" ht="15.75" thickBot="1" x14ac:dyDescent="0.3">
      <c r="A36" s="634"/>
      <c r="B36" s="635"/>
      <c r="C36" s="935"/>
      <c r="D36" s="951"/>
      <c r="E36" s="635"/>
      <c r="F36" s="935"/>
      <c r="G36" s="951"/>
      <c r="H36" s="935"/>
      <c r="I36" s="951"/>
      <c r="J36" s="635"/>
      <c r="K36" s="935"/>
      <c r="L36" s="951"/>
      <c r="M36" s="635" t="s">
        <v>49</v>
      </c>
      <c r="N36" s="935" t="s">
        <v>46</v>
      </c>
      <c r="O36" s="1023">
        <v>200</v>
      </c>
      <c r="P36" s="935" t="s">
        <v>477</v>
      </c>
      <c r="Q36" s="1023">
        <v>300</v>
      </c>
      <c r="R36" s="935" t="s">
        <v>477</v>
      </c>
      <c r="S36" s="1023">
        <v>0</v>
      </c>
      <c r="T36" s="935" t="s">
        <v>437</v>
      </c>
      <c r="U36" s="1023">
        <v>220</v>
      </c>
      <c r="V36" s="935" t="s">
        <v>477</v>
      </c>
      <c r="W36" s="1024">
        <v>150</v>
      </c>
      <c r="X36" s="935" t="s">
        <v>477</v>
      </c>
      <c r="Y36" s="1024">
        <v>0</v>
      </c>
      <c r="Z36" s="935" t="s">
        <v>437</v>
      </c>
      <c r="AA36" s="1024">
        <v>0</v>
      </c>
      <c r="AB36" s="935" t="s">
        <v>437</v>
      </c>
      <c r="AC36" s="1024"/>
      <c r="AD36" s="935" t="s">
        <v>437</v>
      </c>
      <c r="AE36" s="951"/>
      <c r="AF36" s="635"/>
      <c r="AG36" s="935"/>
      <c r="AH36" s="614"/>
    </row>
    <row r="37" spans="1:34" ht="15.75" thickBot="1" x14ac:dyDescent="0.3">
      <c r="A37" s="969"/>
      <c r="B37" s="970"/>
      <c r="C37" s="971"/>
      <c r="D37" s="972"/>
      <c r="E37" s="970"/>
      <c r="F37" s="971"/>
      <c r="G37" s="972"/>
      <c r="H37" s="971"/>
      <c r="I37" s="972"/>
      <c r="J37" s="970"/>
      <c r="K37" s="971"/>
      <c r="L37" s="972"/>
      <c r="M37" s="970"/>
      <c r="N37" s="971"/>
      <c r="O37" s="973">
        <f>O35-O36</f>
        <v>65.210000000000036</v>
      </c>
      <c r="P37" s="971" t="s">
        <v>478</v>
      </c>
      <c r="Q37" s="973">
        <f>Q35-Q36</f>
        <v>100</v>
      </c>
      <c r="R37" s="971" t="s">
        <v>478</v>
      </c>
      <c r="S37" s="973">
        <f>S35-S36</f>
        <v>150</v>
      </c>
      <c r="T37" s="971" t="s">
        <v>439</v>
      </c>
      <c r="U37" s="973">
        <f>U35-U36</f>
        <v>200</v>
      </c>
      <c r="V37" s="971" t="s">
        <v>478</v>
      </c>
      <c r="W37" s="974">
        <f>W35-W36</f>
        <v>200</v>
      </c>
      <c r="X37" s="971" t="s">
        <v>478</v>
      </c>
      <c r="Y37" s="1025">
        <f>Y35-Y36</f>
        <v>0</v>
      </c>
      <c r="Z37" s="971" t="s">
        <v>439</v>
      </c>
      <c r="AA37" s="1021">
        <f>AA35-AA36</f>
        <v>0</v>
      </c>
      <c r="AB37" s="971" t="s">
        <v>439</v>
      </c>
      <c r="AC37" s="1022">
        <f>AC35-AC36</f>
        <v>0</v>
      </c>
      <c r="AD37" s="971" t="s">
        <v>439</v>
      </c>
      <c r="AE37" s="972"/>
      <c r="AF37" s="970"/>
      <c r="AG37" s="971"/>
      <c r="AH37" s="614"/>
    </row>
    <row r="38" spans="1:34" ht="15.75" thickTop="1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/>
      <c r="P38" s="610"/>
      <c r="Q38" s="1042">
        <v>1100</v>
      </c>
      <c r="R38" s="1031" t="s">
        <v>479</v>
      </c>
      <c r="S38" s="1032"/>
      <c r="T38" s="610"/>
      <c r="U38" s="610"/>
      <c r="V38" s="610"/>
      <c r="W38" s="610"/>
      <c r="X38" s="610"/>
      <c r="Y38" s="610"/>
      <c r="Z38" s="610"/>
      <c r="AA38" s="610"/>
      <c r="AB38" s="610"/>
      <c r="AC38" s="610"/>
      <c r="AD38" s="610"/>
      <c r="AE38" s="610"/>
      <c r="AF38" s="610"/>
      <c r="AG38" s="610"/>
    </row>
    <row r="39" spans="1:34" x14ac:dyDescent="0.25">
      <c r="Q39" s="1033"/>
      <c r="R39" s="1034"/>
      <c r="S39" s="1035"/>
    </row>
    <row r="40" spans="1:34" x14ac:dyDescent="0.25">
      <c r="Q40" s="1033"/>
      <c r="R40" s="1034"/>
      <c r="S40" s="1035"/>
    </row>
    <row r="41" spans="1:34" x14ac:dyDescent="0.25">
      <c r="Q41" s="1033"/>
      <c r="R41" s="1034"/>
      <c r="S41" s="1035"/>
    </row>
    <row r="42" spans="1:34" x14ac:dyDescent="0.25">
      <c r="Q42" s="1033"/>
      <c r="R42" s="1033"/>
      <c r="S42" s="1035"/>
    </row>
    <row r="43" spans="1:34" x14ac:dyDescent="0.25">
      <c r="Q43" s="1036"/>
      <c r="R43" s="1034"/>
      <c r="S43" s="1035"/>
    </row>
    <row r="44" spans="1:34" x14ac:dyDescent="0.25">
      <c r="Q44" s="1035"/>
      <c r="R44" s="1035"/>
      <c r="S44" s="1035"/>
    </row>
    <row r="45" spans="1:34" x14ac:dyDescent="0.25">
      <c r="Q45" s="1035"/>
      <c r="R45" s="1037"/>
      <c r="S45" s="1035"/>
    </row>
    <row r="46" spans="1:34" x14ac:dyDescent="0.25">
      <c r="Q46" s="1035"/>
      <c r="R46" s="1037"/>
      <c r="S46" s="1035"/>
    </row>
    <row r="47" spans="1:34" x14ac:dyDescent="0.25">
      <c r="Q47" s="1035"/>
      <c r="R47" s="1035"/>
      <c r="S47" s="1035"/>
    </row>
    <row r="48" spans="1:34" x14ac:dyDescent="0.25">
      <c r="Q48" s="1035"/>
      <c r="R48" s="1035"/>
      <c r="S48" s="1035"/>
    </row>
    <row r="49" spans="17:19" x14ac:dyDescent="0.25">
      <c r="Q49" s="1035"/>
      <c r="R49" s="1035"/>
      <c r="S49" s="1035"/>
    </row>
    <row r="50" spans="17:19" x14ac:dyDescent="0.25">
      <c r="Q50" s="1038"/>
      <c r="R50" s="1035"/>
      <c r="S50" s="1035"/>
    </row>
    <row r="51" spans="17:19" x14ac:dyDescent="0.25">
      <c r="Q51" s="1035"/>
      <c r="R51" s="1035"/>
      <c r="S51" s="1035"/>
    </row>
    <row r="52" spans="17:19" x14ac:dyDescent="0.25">
      <c r="R52" s="827"/>
    </row>
  </sheetData>
  <mergeCells count="25">
    <mergeCell ref="A1:F1"/>
    <mergeCell ref="G1:H1"/>
    <mergeCell ref="I1:K1"/>
    <mergeCell ref="L1:N1"/>
    <mergeCell ref="O1:P1"/>
    <mergeCell ref="Q34:R34"/>
    <mergeCell ref="AE1:AG1"/>
    <mergeCell ref="AH1:AI1"/>
    <mergeCell ref="AJ1:AK1"/>
    <mergeCell ref="AH4:AI4"/>
    <mergeCell ref="AJ4:AK4"/>
    <mergeCell ref="AH9:AI9"/>
    <mergeCell ref="Q1:AD1"/>
    <mergeCell ref="AE34:AG34"/>
    <mergeCell ref="S34:T34"/>
    <mergeCell ref="U34:V34"/>
    <mergeCell ref="W34:X34"/>
    <mergeCell ref="Y34:Z34"/>
    <mergeCell ref="AA34:AB34"/>
    <mergeCell ref="AC34:AD34"/>
    <mergeCell ref="A34:C34"/>
    <mergeCell ref="G34:H34"/>
    <mergeCell ref="I34:K34"/>
    <mergeCell ref="L34:N34"/>
    <mergeCell ref="O34:P34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C00000"/>
  </sheetPr>
  <dimension ref="A1:AP102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" customHeight="1" x14ac:dyDescent="0.25"/>
  <cols>
    <col min="1" max="1" width="9.42578125" customWidth="1"/>
    <col min="2" max="2" width="7.7109375" customWidth="1"/>
    <col min="3" max="3" width="9.28515625" customWidth="1"/>
    <col min="4" max="5" width="8.28515625" customWidth="1"/>
    <col min="6" max="8" width="8" customWidth="1"/>
    <col min="9" max="9" width="8.28515625" customWidth="1"/>
    <col min="10" max="10" width="8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10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9.7109375" customWidth="1"/>
    <col min="21" max="21" width="8.28515625" customWidth="1"/>
    <col min="22" max="22" width="8" customWidth="1"/>
    <col min="23" max="25" width="8.28515625" customWidth="1"/>
    <col min="26" max="26" width="8" customWidth="1"/>
    <col min="27" max="27" width="8.28515625" customWidth="1"/>
    <col min="28" max="28" width="8" customWidth="1"/>
    <col min="29" max="29" width="9.28515625" customWidth="1"/>
    <col min="30" max="30" width="12.85546875" customWidth="1"/>
    <col min="31" max="31" width="12.7109375" customWidth="1"/>
    <col min="32" max="32" width="9.140625" customWidth="1"/>
    <col min="33" max="33" width="10.28515625" customWidth="1"/>
    <col min="34" max="34" width="14.28515625" customWidth="1"/>
    <col min="35" max="35" width="9.42578125" customWidth="1"/>
    <col min="36" max="36" width="12.42578125" customWidth="1"/>
    <col min="37" max="37" width="8.5703125" customWidth="1"/>
    <col min="38" max="38" width="11.28515625" customWidth="1"/>
    <col min="39" max="42" width="9.140625" customWidth="1"/>
  </cols>
  <sheetData>
    <row r="1" spans="1:42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33"/>
      <c r="Y1" s="1233"/>
      <c r="Z1" s="1220"/>
      <c r="AA1" s="1232" t="s">
        <v>43</v>
      </c>
      <c r="AB1" s="1233"/>
      <c r="AC1" s="1234"/>
      <c r="AD1" s="1219" t="s">
        <v>44</v>
      </c>
      <c r="AE1" s="1220"/>
      <c r="AF1" s="1243" t="s">
        <v>45</v>
      </c>
      <c r="AG1" s="1234"/>
      <c r="AH1" s="43"/>
      <c r="AI1" s="43"/>
      <c r="AJ1" s="44"/>
      <c r="AK1" s="44"/>
      <c r="AL1" s="44"/>
      <c r="AM1" s="44"/>
      <c r="AN1" s="43"/>
      <c r="AO1" s="43"/>
      <c r="AP1" s="43"/>
    </row>
    <row r="2" spans="1:42" ht="15.75" x14ac:dyDescent="0.25">
      <c r="A2" s="48" t="s">
        <v>46</v>
      </c>
      <c r="B2" s="276" t="s">
        <v>47</v>
      </c>
      <c r="C2" s="277" t="s">
        <v>48</v>
      </c>
      <c r="D2" s="48" t="s">
        <v>46</v>
      </c>
      <c r="E2" s="49" t="s">
        <v>47</v>
      </c>
      <c r="F2" s="276" t="s">
        <v>49</v>
      </c>
      <c r="G2" s="278" t="s">
        <v>49</v>
      </c>
      <c r="H2" s="279" t="s">
        <v>46</v>
      </c>
      <c r="I2" s="280" t="s">
        <v>49</v>
      </c>
      <c r="J2" s="281" t="s">
        <v>47</v>
      </c>
      <c r="K2" s="276" t="s">
        <v>46</v>
      </c>
      <c r="L2" s="280" t="s">
        <v>50</v>
      </c>
      <c r="M2" s="282" t="s">
        <v>51</v>
      </c>
      <c r="N2" s="276" t="s">
        <v>52</v>
      </c>
      <c r="O2" s="280" t="s">
        <v>53</v>
      </c>
      <c r="P2" s="277" t="s">
        <v>50</v>
      </c>
      <c r="Q2" s="283" t="s">
        <v>54</v>
      </c>
      <c r="R2" s="276" t="s">
        <v>47</v>
      </c>
      <c r="S2" s="283" t="s">
        <v>55</v>
      </c>
      <c r="T2" s="276" t="s">
        <v>47</v>
      </c>
      <c r="U2" s="283" t="s">
        <v>56</v>
      </c>
      <c r="V2" s="276" t="s">
        <v>47</v>
      </c>
      <c r="W2" s="45" t="s">
        <v>84</v>
      </c>
      <c r="X2" s="284" t="s">
        <v>47</v>
      </c>
      <c r="Y2" s="285" t="s">
        <v>85</v>
      </c>
      <c r="Z2" s="276" t="s">
        <v>47</v>
      </c>
      <c r="AA2" s="283" t="s">
        <v>50</v>
      </c>
      <c r="AB2" s="49" t="s">
        <v>13</v>
      </c>
      <c r="AC2" s="276" t="s">
        <v>52</v>
      </c>
      <c r="AD2" s="286" t="s">
        <v>50</v>
      </c>
      <c r="AE2" s="287" t="s">
        <v>52</v>
      </c>
      <c r="AF2" s="286" t="s">
        <v>50</v>
      </c>
      <c r="AG2" s="288" t="s">
        <v>52</v>
      </c>
      <c r="AJ2" s="30"/>
      <c r="AK2" s="30"/>
      <c r="AL2" s="30"/>
      <c r="AM2" s="30"/>
    </row>
    <row r="3" spans="1:42" x14ac:dyDescent="0.25">
      <c r="A3" s="289">
        <v>2090.1999999999998</v>
      </c>
      <c r="B3" s="96">
        <v>43862</v>
      </c>
      <c r="C3" s="290"/>
      <c r="D3" s="70">
        <v>100.39</v>
      </c>
      <c r="E3" s="71">
        <v>43863</v>
      </c>
      <c r="F3" s="72"/>
      <c r="G3" s="73">
        <v>14.8</v>
      </c>
      <c r="H3" s="74">
        <v>29.2</v>
      </c>
      <c r="I3" s="86">
        <v>200</v>
      </c>
      <c r="J3" s="76">
        <v>43879</v>
      </c>
      <c r="K3" s="74"/>
      <c r="L3" s="291"/>
      <c r="M3" s="292" t="s">
        <v>86</v>
      </c>
      <c r="N3" s="293">
        <v>19.739999999999998</v>
      </c>
      <c r="O3" s="80">
        <f>AC27-AG6-AE3</f>
        <v>990.18000000000029</v>
      </c>
      <c r="P3" s="294">
        <v>0</v>
      </c>
      <c r="Q3" s="84">
        <v>100</v>
      </c>
      <c r="R3" s="83">
        <v>43863</v>
      </c>
      <c r="S3" s="84">
        <v>100</v>
      </c>
      <c r="T3" s="85">
        <v>43874</v>
      </c>
      <c r="U3" s="86">
        <v>50</v>
      </c>
      <c r="V3" s="85">
        <v>43866</v>
      </c>
      <c r="W3" s="295">
        <v>100</v>
      </c>
      <c r="X3" s="296">
        <v>43864</v>
      </c>
      <c r="Y3" s="133">
        <v>100</v>
      </c>
      <c r="Z3" s="83">
        <v>43864</v>
      </c>
      <c r="AA3" s="297"/>
      <c r="AB3" s="89" t="s">
        <v>60</v>
      </c>
      <c r="AC3" s="298">
        <v>150</v>
      </c>
      <c r="AD3" s="299">
        <v>0</v>
      </c>
      <c r="AE3" s="300">
        <v>130</v>
      </c>
      <c r="AF3" s="301">
        <f>AD6+AF6</f>
        <v>4561.0599999999995</v>
      </c>
      <c r="AG3" s="302">
        <f>AG6+AE6</f>
        <v>4638.01</v>
      </c>
      <c r="AJ3" s="30"/>
      <c r="AK3" s="30"/>
      <c r="AL3" s="30"/>
    </row>
    <row r="4" spans="1:42" ht="18.75" x14ac:dyDescent="0.25">
      <c r="A4" s="303">
        <v>2470.86</v>
      </c>
      <c r="B4" s="96">
        <v>43897</v>
      </c>
      <c r="C4" s="304"/>
      <c r="D4" s="98">
        <v>125.05</v>
      </c>
      <c r="E4" s="71">
        <v>43863</v>
      </c>
      <c r="F4" s="99"/>
      <c r="G4" s="100">
        <v>11</v>
      </c>
      <c r="H4" s="101">
        <v>43.5</v>
      </c>
      <c r="I4" s="102">
        <v>73.25</v>
      </c>
      <c r="J4" s="76">
        <v>43884</v>
      </c>
      <c r="K4" s="101"/>
      <c r="L4" s="305"/>
      <c r="M4" s="306" t="s">
        <v>87</v>
      </c>
      <c r="N4" s="307">
        <v>27.96</v>
      </c>
      <c r="O4" s="1223" t="s">
        <v>61</v>
      </c>
      <c r="P4" s="1224"/>
      <c r="Q4" s="118">
        <v>100</v>
      </c>
      <c r="R4" s="83">
        <v>43869</v>
      </c>
      <c r="S4" s="118">
        <v>80</v>
      </c>
      <c r="T4" s="85">
        <v>43875</v>
      </c>
      <c r="U4" s="108">
        <v>50</v>
      </c>
      <c r="V4" s="85">
        <v>43869</v>
      </c>
      <c r="W4" s="308">
        <v>100</v>
      </c>
      <c r="X4" s="83">
        <v>43873</v>
      </c>
      <c r="Y4" s="133">
        <v>100</v>
      </c>
      <c r="Z4" s="83">
        <v>43874</v>
      </c>
      <c r="AA4" s="309"/>
      <c r="AB4" s="89">
        <v>43863</v>
      </c>
      <c r="AC4" s="310">
        <v>300</v>
      </c>
      <c r="AD4" s="1238" t="s">
        <v>63</v>
      </c>
      <c r="AE4" s="1245"/>
      <c r="AF4" s="1246" t="s">
        <v>64</v>
      </c>
      <c r="AG4" s="1237"/>
      <c r="AJ4" s="30"/>
      <c r="AK4" s="112"/>
      <c r="AL4" s="30"/>
    </row>
    <row r="5" spans="1:42" ht="15.75" x14ac:dyDescent="0.25">
      <c r="A5" s="303"/>
      <c r="B5" s="96"/>
      <c r="C5" s="304"/>
      <c r="D5" s="98">
        <v>89.52</v>
      </c>
      <c r="E5" s="71">
        <v>43865</v>
      </c>
      <c r="F5" s="99"/>
      <c r="G5" s="100">
        <v>37.5</v>
      </c>
      <c r="H5" s="101">
        <v>24</v>
      </c>
      <c r="I5" s="102">
        <v>267.2</v>
      </c>
      <c r="J5" s="76">
        <v>43889</v>
      </c>
      <c r="K5" s="101"/>
      <c r="L5" s="311"/>
      <c r="M5" s="312" t="s">
        <v>88</v>
      </c>
      <c r="N5" s="307">
        <v>34.729999999999997</v>
      </c>
      <c r="O5" s="1225">
        <f>AD9</f>
        <v>0</v>
      </c>
      <c r="P5" s="1226"/>
      <c r="Q5" s="118">
        <v>100</v>
      </c>
      <c r="R5" s="83"/>
      <c r="S5" s="118">
        <v>15</v>
      </c>
      <c r="T5" s="85"/>
      <c r="U5" s="108">
        <v>100</v>
      </c>
      <c r="V5" s="85">
        <v>43874</v>
      </c>
      <c r="W5" s="308">
        <v>30</v>
      </c>
      <c r="X5" s="83">
        <v>43877</v>
      </c>
      <c r="Y5" s="133">
        <v>100</v>
      </c>
      <c r="Z5" s="83">
        <v>43884</v>
      </c>
      <c r="AA5" s="309"/>
      <c r="AB5" s="89">
        <v>43863</v>
      </c>
      <c r="AC5" s="310">
        <v>300</v>
      </c>
      <c r="AD5" s="119" t="s">
        <v>50</v>
      </c>
      <c r="AE5" s="313" t="s">
        <v>52</v>
      </c>
      <c r="AF5" s="121" t="s">
        <v>50</v>
      </c>
      <c r="AG5" s="122" t="s">
        <v>52</v>
      </c>
      <c r="AJ5" s="30"/>
      <c r="AK5" s="112"/>
      <c r="AL5" s="30"/>
    </row>
    <row r="6" spans="1:42" x14ac:dyDescent="0.25">
      <c r="A6" s="303"/>
      <c r="B6" s="96"/>
      <c r="C6" s="304"/>
      <c r="D6" s="98">
        <v>94.1</v>
      </c>
      <c r="E6" s="71">
        <v>43880</v>
      </c>
      <c r="F6" s="99"/>
      <c r="G6" s="100">
        <v>14.8</v>
      </c>
      <c r="H6" s="101">
        <v>20.2</v>
      </c>
      <c r="I6" s="102">
        <v>66.8</v>
      </c>
      <c r="J6" s="76">
        <v>43894</v>
      </c>
      <c r="K6" s="101"/>
      <c r="L6" s="311"/>
      <c r="M6" s="312" t="s">
        <v>89</v>
      </c>
      <c r="N6" s="307">
        <v>31.3</v>
      </c>
      <c r="O6" s="314"/>
      <c r="P6" s="315"/>
      <c r="Q6" s="118">
        <v>35</v>
      </c>
      <c r="R6" s="83"/>
      <c r="S6" s="118">
        <v>100</v>
      </c>
      <c r="T6" s="85"/>
      <c r="U6" s="108">
        <v>100</v>
      </c>
      <c r="V6" s="85">
        <v>43876</v>
      </c>
      <c r="W6" s="308">
        <v>70</v>
      </c>
      <c r="X6" s="83">
        <v>43881</v>
      </c>
      <c r="Y6" s="133"/>
      <c r="Z6" s="83"/>
      <c r="AA6" s="309"/>
      <c r="AB6" s="89">
        <v>43868</v>
      </c>
      <c r="AC6" s="310">
        <v>300</v>
      </c>
      <c r="AD6" s="316">
        <f>A27+L27</f>
        <v>4561.0599999999995</v>
      </c>
      <c r="AE6" s="317">
        <f>D27+H27+K27+N27</f>
        <v>1358.1900000000003</v>
      </c>
      <c r="AF6" s="128">
        <f>L27+C27</f>
        <v>0</v>
      </c>
      <c r="AG6" s="129">
        <f>F27+G27+I27+M27+Q27+S27+U27+W27+Y27</f>
        <v>3279.8199999999997</v>
      </c>
      <c r="AJ6" s="30"/>
      <c r="AK6" s="112"/>
      <c r="AL6" s="30"/>
    </row>
    <row r="7" spans="1:42" ht="18.75" x14ac:dyDescent="0.25">
      <c r="A7" s="303"/>
      <c r="B7" s="96"/>
      <c r="C7" s="304"/>
      <c r="D7" s="98">
        <v>64.56</v>
      </c>
      <c r="E7" s="71">
        <v>43883</v>
      </c>
      <c r="F7" s="99"/>
      <c r="G7" s="100">
        <v>11</v>
      </c>
      <c r="H7" s="101"/>
      <c r="I7" s="108"/>
      <c r="J7" s="76"/>
      <c r="K7" s="101"/>
      <c r="L7" s="311"/>
      <c r="M7" s="318" t="s">
        <v>90</v>
      </c>
      <c r="N7" s="319">
        <v>19.7</v>
      </c>
      <c r="O7" s="144"/>
      <c r="P7" s="145"/>
      <c r="Q7" s="118">
        <v>60</v>
      </c>
      <c r="R7" s="83"/>
      <c r="S7" s="118">
        <v>10</v>
      </c>
      <c r="T7" s="85" t="s">
        <v>91</v>
      </c>
      <c r="U7" s="108">
        <v>200</v>
      </c>
      <c r="V7" s="85">
        <v>43880</v>
      </c>
      <c r="W7" s="308">
        <v>100</v>
      </c>
      <c r="X7" s="83">
        <v>43883</v>
      </c>
      <c r="Y7" s="133"/>
      <c r="Z7" s="83"/>
      <c r="AA7" s="309"/>
      <c r="AB7" s="89">
        <v>43868</v>
      </c>
      <c r="AC7" s="310">
        <v>300</v>
      </c>
      <c r="AD7" s="320" t="s">
        <v>66</v>
      </c>
      <c r="AE7" s="321" t="s">
        <v>67</v>
      </c>
      <c r="AJ7" s="30"/>
      <c r="AK7" s="30"/>
      <c r="AL7" s="30"/>
    </row>
    <row r="8" spans="1:42" x14ac:dyDescent="0.25">
      <c r="A8" s="303"/>
      <c r="B8" s="96"/>
      <c r="C8" s="304"/>
      <c r="D8" s="98">
        <v>120.63</v>
      </c>
      <c r="E8" s="71">
        <v>43884</v>
      </c>
      <c r="F8" s="99"/>
      <c r="G8" s="100"/>
      <c r="H8" s="101"/>
      <c r="I8" s="108"/>
      <c r="J8" s="76"/>
      <c r="K8" s="101"/>
      <c r="L8" s="311"/>
      <c r="M8" s="318" t="s">
        <v>92</v>
      </c>
      <c r="N8" s="319">
        <v>68.2</v>
      </c>
      <c r="O8" s="133"/>
      <c r="P8" s="134"/>
      <c r="Q8" s="118">
        <v>100</v>
      </c>
      <c r="R8" s="83">
        <v>43883</v>
      </c>
      <c r="S8" s="118"/>
      <c r="T8" s="85"/>
      <c r="U8" s="322">
        <v>100</v>
      </c>
      <c r="V8" s="323">
        <v>43883</v>
      </c>
      <c r="W8" s="324"/>
      <c r="X8" s="137"/>
      <c r="Y8" s="325"/>
      <c r="Z8" s="83"/>
      <c r="AA8" s="309"/>
      <c r="AB8" s="89">
        <v>43873</v>
      </c>
      <c r="AC8" s="310">
        <v>800</v>
      </c>
      <c r="AD8" s="326">
        <v>0</v>
      </c>
      <c r="AE8" s="327">
        <f>E27</f>
        <v>0</v>
      </c>
      <c r="AJ8" s="30"/>
      <c r="AK8" s="30"/>
      <c r="AL8" s="30"/>
    </row>
    <row r="9" spans="1:42" x14ac:dyDescent="0.25">
      <c r="A9" s="303"/>
      <c r="B9" s="76"/>
      <c r="C9" s="328"/>
      <c r="D9" s="98">
        <v>118.33</v>
      </c>
      <c r="E9" s="71">
        <v>43884</v>
      </c>
      <c r="F9" s="99"/>
      <c r="G9" s="100"/>
      <c r="H9" s="143"/>
      <c r="I9" s="108"/>
      <c r="J9" s="76"/>
      <c r="K9" s="101"/>
      <c r="L9" s="311"/>
      <c r="M9" s="318" t="s">
        <v>93</v>
      </c>
      <c r="N9" s="319">
        <v>36.799999999999997</v>
      </c>
      <c r="O9" s="144"/>
      <c r="P9" s="145"/>
      <c r="Q9" s="118">
        <v>20</v>
      </c>
      <c r="R9" s="83"/>
      <c r="S9" s="118"/>
      <c r="T9" s="85"/>
      <c r="U9" s="108">
        <v>50</v>
      </c>
      <c r="V9" s="85"/>
      <c r="W9" s="308"/>
      <c r="X9" s="83"/>
      <c r="Y9" s="133"/>
      <c r="Z9" s="83"/>
      <c r="AA9" s="309"/>
      <c r="AB9" s="89">
        <v>43879</v>
      </c>
      <c r="AC9" s="310">
        <v>300</v>
      </c>
      <c r="AD9" s="1244">
        <f>AD8-AE8</f>
        <v>0</v>
      </c>
      <c r="AE9" s="1222"/>
      <c r="AJ9" s="30"/>
      <c r="AK9" s="30"/>
      <c r="AL9" s="146"/>
    </row>
    <row r="10" spans="1:42" x14ac:dyDescent="0.25">
      <c r="A10" s="303"/>
      <c r="B10" s="76"/>
      <c r="C10" s="328"/>
      <c r="D10" s="98">
        <v>94.5</v>
      </c>
      <c r="E10" s="71">
        <v>43890</v>
      </c>
      <c r="F10" s="99"/>
      <c r="G10" s="100"/>
      <c r="H10" s="101"/>
      <c r="I10" s="108"/>
      <c r="J10" s="76"/>
      <c r="K10" s="101"/>
      <c r="L10" s="311"/>
      <c r="M10" s="318" t="s">
        <v>94</v>
      </c>
      <c r="N10" s="319">
        <v>11.28</v>
      </c>
      <c r="O10" s="144"/>
      <c r="P10" s="145"/>
      <c r="Q10" s="118">
        <v>20</v>
      </c>
      <c r="R10" s="83">
        <v>43885</v>
      </c>
      <c r="S10" s="118"/>
      <c r="T10" s="85"/>
      <c r="U10" s="108"/>
      <c r="V10" s="85"/>
      <c r="W10" s="308"/>
      <c r="X10" s="83"/>
      <c r="Y10" s="133"/>
      <c r="Z10" s="83"/>
      <c r="AA10" s="309"/>
      <c r="AB10" s="89">
        <v>43880</v>
      </c>
      <c r="AC10" s="310">
        <v>950</v>
      </c>
      <c r="AJ10" s="30"/>
      <c r="AK10" s="30"/>
      <c r="AL10" s="30"/>
    </row>
    <row r="11" spans="1:42" x14ac:dyDescent="0.25">
      <c r="A11" s="303"/>
      <c r="B11" s="76"/>
      <c r="C11" s="328"/>
      <c r="D11" s="148">
        <v>100.1</v>
      </c>
      <c r="E11" s="71">
        <v>43896</v>
      </c>
      <c r="F11" s="149"/>
      <c r="G11" s="100"/>
      <c r="H11" s="101"/>
      <c r="I11" s="108"/>
      <c r="J11" s="76"/>
      <c r="K11" s="101"/>
      <c r="L11" s="311"/>
      <c r="M11" s="318" t="s">
        <v>95</v>
      </c>
      <c r="N11" s="319">
        <v>31.7</v>
      </c>
      <c r="O11" s="144"/>
      <c r="P11" s="145"/>
      <c r="Q11" s="118">
        <v>10</v>
      </c>
      <c r="R11" s="83"/>
      <c r="S11" s="118"/>
      <c r="T11" s="85"/>
      <c r="U11" s="108"/>
      <c r="V11" s="85"/>
      <c r="W11" s="308"/>
      <c r="X11" s="83"/>
      <c r="Y11" s="133"/>
      <c r="Z11" s="83"/>
      <c r="AA11" s="309"/>
      <c r="AB11" s="89">
        <v>43887</v>
      </c>
      <c r="AC11" s="310">
        <v>500</v>
      </c>
      <c r="AJ11" s="30"/>
      <c r="AK11" s="30"/>
      <c r="AL11" s="30"/>
    </row>
    <row r="12" spans="1:42" x14ac:dyDescent="0.25">
      <c r="A12" s="303"/>
      <c r="B12" s="76"/>
      <c r="C12" s="328"/>
      <c r="D12" s="148">
        <v>91.93</v>
      </c>
      <c r="E12" s="71">
        <v>43896</v>
      </c>
      <c r="F12" s="149"/>
      <c r="G12" s="100"/>
      <c r="H12" s="101"/>
      <c r="I12" s="108"/>
      <c r="J12" s="76"/>
      <c r="K12" s="101"/>
      <c r="L12" s="311"/>
      <c r="M12" s="318" t="s">
        <v>96</v>
      </c>
      <c r="N12" s="319">
        <v>74.5</v>
      </c>
      <c r="O12" s="144"/>
      <c r="P12" s="145"/>
      <c r="Q12" s="118">
        <v>15</v>
      </c>
      <c r="R12" s="83" t="s">
        <v>91</v>
      </c>
      <c r="S12" s="118"/>
      <c r="T12" s="85"/>
      <c r="U12" s="108"/>
      <c r="V12" s="85"/>
      <c r="W12" s="308"/>
      <c r="X12" s="83"/>
      <c r="Y12" s="133"/>
      <c r="Z12" s="83"/>
      <c r="AA12" s="309"/>
      <c r="AB12" s="89">
        <v>43890</v>
      </c>
      <c r="AC12" s="310">
        <v>500</v>
      </c>
      <c r="AJ12" s="30"/>
      <c r="AK12" s="30"/>
      <c r="AL12" s="30"/>
    </row>
    <row r="13" spans="1:42" x14ac:dyDescent="0.25">
      <c r="A13" s="303"/>
      <c r="B13" s="76"/>
      <c r="C13" s="328"/>
      <c r="D13" s="152"/>
      <c r="E13" s="71"/>
      <c r="F13" s="149"/>
      <c r="G13" s="100"/>
      <c r="H13" s="101"/>
      <c r="I13" s="108"/>
      <c r="J13" s="76"/>
      <c r="K13" s="101"/>
      <c r="L13" s="311"/>
      <c r="M13" s="312" t="s">
        <v>97</v>
      </c>
      <c r="N13" s="307">
        <v>39.22</v>
      </c>
      <c r="O13" s="144"/>
      <c r="P13" s="145"/>
      <c r="Q13" s="118">
        <v>50</v>
      </c>
      <c r="R13" s="83"/>
      <c r="S13" s="118"/>
      <c r="T13" s="85"/>
      <c r="U13" s="108"/>
      <c r="V13" s="85"/>
      <c r="W13" s="308"/>
      <c r="X13" s="83"/>
      <c r="Y13" s="133"/>
      <c r="Z13" s="83"/>
      <c r="AA13" s="309"/>
      <c r="AB13" s="89"/>
      <c r="AC13" s="329"/>
      <c r="AD13" s="30"/>
      <c r="AE13" s="30"/>
      <c r="AF13" s="30"/>
      <c r="AG13" s="30"/>
      <c r="AI13" s="30"/>
      <c r="AJ13" s="30"/>
      <c r="AK13" s="30"/>
      <c r="AL13" s="30"/>
    </row>
    <row r="14" spans="1:42" x14ac:dyDescent="0.25">
      <c r="A14" s="303"/>
      <c r="B14" s="76"/>
      <c r="C14" s="328"/>
      <c r="D14" s="148"/>
      <c r="E14" s="71"/>
      <c r="F14" s="149"/>
      <c r="G14" s="100"/>
      <c r="H14" s="101"/>
      <c r="I14" s="108"/>
      <c r="J14" s="76"/>
      <c r="K14" s="101"/>
      <c r="L14" s="311"/>
      <c r="M14" s="312" t="s">
        <v>98</v>
      </c>
      <c r="N14" s="307">
        <v>25.76</v>
      </c>
      <c r="O14" s="144"/>
      <c r="P14" s="145"/>
      <c r="Q14" s="118"/>
      <c r="R14" s="83"/>
      <c r="S14" s="118"/>
      <c r="T14" s="85"/>
      <c r="U14" s="108"/>
      <c r="V14" s="85"/>
      <c r="W14" s="308"/>
      <c r="X14" s="83"/>
      <c r="Y14" s="133"/>
      <c r="Z14" s="83"/>
      <c r="AA14" s="309"/>
      <c r="AB14" s="89"/>
      <c r="AC14" s="329"/>
      <c r="AD14" s="30"/>
      <c r="AE14" s="30"/>
      <c r="AF14" s="30"/>
      <c r="AG14" s="30"/>
      <c r="AI14" s="30"/>
    </row>
    <row r="15" spans="1:42" x14ac:dyDescent="0.25">
      <c r="A15" s="303"/>
      <c r="B15" s="76"/>
      <c r="C15" s="328"/>
      <c r="D15" s="148"/>
      <c r="E15" s="71"/>
      <c r="F15" s="149"/>
      <c r="G15" s="100"/>
      <c r="H15" s="101"/>
      <c r="I15" s="108"/>
      <c r="J15" s="76"/>
      <c r="K15" s="101"/>
      <c r="L15" s="311"/>
      <c r="M15" s="312" t="s">
        <v>99</v>
      </c>
      <c r="N15" s="307">
        <v>9.18</v>
      </c>
      <c r="O15" s="144"/>
      <c r="P15" s="145"/>
      <c r="Q15" s="118"/>
      <c r="R15" s="83"/>
      <c r="S15" s="118"/>
      <c r="T15" s="85"/>
      <c r="U15" s="108"/>
      <c r="V15" s="85"/>
      <c r="W15" s="308"/>
      <c r="X15" s="83"/>
      <c r="Y15" s="133"/>
      <c r="Z15" s="83"/>
      <c r="AA15" s="309"/>
      <c r="AB15" s="89"/>
      <c r="AC15" s="329"/>
      <c r="AD15" s="30"/>
      <c r="AE15" s="30"/>
      <c r="AF15" s="30"/>
      <c r="AG15" s="30"/>
      <c r="AI15" s="30"/>
    </row>
    <row r="16" spans="1:42" x14ac:dyDescent="0.25">
      <c r="A16" s="303"/>
      <c r="B16" s="76"/>
      <c r="C16" s="328"/>
      <c r="D16" s="148"/>
      <c r="E16" s="71"/>
      <c r="F16" s="149"/>
      <c r="G16" s="100"/>
      <c r="H16" s="101"/>
      <c r="I16" s="108"/>
      <c r="J16" s="76"/>
      <c r="K16" s="101"/>
      <c r="L16" s="311"/>
      <c r="M16" s="312" t="s">
        <v>100</v>
      </c>
      <c r="N16" s="307">
        <v>32.78</v>
      </c>
      <c r="O16" s="144"/>
      <c r="P16" s="145"/>
      <c r="Q16" s="118"/>
      <c r="R16" s="83"/>
      <c r="S16" s="118"/>
      <c r="T16" s="85"/>
      <c r="U16" s="108"/>
      <c r="V16" s="85"/>
      <c r="W16" s="308"/>
      <c r="X16" s="83"/>
      <c r="Y16" s="133"/>
      <c r="Z16" s="83"/>
      <c r="AA16" s="309"/>
      <c r="AB16" s="89"/>
      <c r="AC16" s="329"/>
      <c r="AD16" s="30"/>
      <c r="AE16" s="30"/>
      <c r="AF16" s="30"/>
      <c r="AG16" s="30"/>
      <c r="AI16" s="30"/>
    </row>
    <row r="17" spans="1:39" x14ac:dyDescent="0.25">
      <c r="A17" s="303"/>
      <c r="B17" s="76"/>
      <c r="C17" s="328"/>
      <c r="D17" s="148"/>
      <c r="E17" s="71"/>
      <c r="F17" s="149"/>
      <c r="G17" s="100"/>
      <c r="H17" s="101"/>
      <c r="I17" s="108"/>
      <c r="J17" s="76"/>
      <c r="K17" s="101"/>
      <c r="L17" s="311"/>
      <c r="M17" s="312" t="s">
        <v>101</v>
      </c>
      <c r="N17" s="307">
        <v>97.8</v>
      </c>
      <c r="O17" s="144"/>
      <c r="P17" s="145"/>
      <c r="Q17" s="118"/>
      <c r="R17" s="83"/>
      <c r="S17" s="118"/>
      <c r="T17" s="85"/>
      <c r="U17" s="108"/>
      <c r="V17" s="85"/>
      <c r="W17" s="308"/>
      <c r="X17" s="83"/>
      <c r="Y17" s="133"/>
      <c r="Z17" s="83"/>
      <c r="AA17" s="309"/>
      <c r="AB17" s="89"/>
      <c r="AC17" s="329"/>
      <c r="AD17" s="30"/>
      <c r="AE17" s="30"/>
      <c r="AF17" s="30"/>
      <c r="AG17" s="30"/>
      <c r="AI17" s="30"/>
    </row>
    <row r="18" spans="1:39" x14ac:dyDescent="0.25">
      <c r="A18" s="303"/>
      <c r="B18" s="76"/>
      <c r="C18" s="328"/>
      <c r="D18" s="148"/>
      <c r="E18" s="71"/>
      <c r="F18" s="149"/>
      <c r="G18" s="100"/>
      <c r="H18" s="101"/>
      <c r="I18" s="108"/>
      <c r="J18" s="76"/>
      <c r="K18" s="101"/>
      <c r="L18" s="311"/>
      <c r="M18" s="330"/>
      <c r="N18" s="329"/>
      <c r="O18" s="144"/>
      <c r="P18" s="145"/>
      <c r="Q18" s="118"/>
      <c r="R18" s="83"/>
      <c r="S18" s="118"/>
      <c r="T18" s="85"/>
      <c r="U18" s="108"/>
      <c r="V18" s="85"/>
      <c r="W18" s="308"/>
      <c r="X18" s="83"/>
      <c r="Y18" s="133"/>
      <c r="Z18" s="83"/>
      <c r="AA18" s="309"/>
      <c r="AB18" s="89"/>
      <c r="AC18" s="329"/>
      <c r="AD18" s="30"/>
      <c r="AE18" s="30"/>
      <c r="AF18" s="30"/>
      <c r="AG18" s="30"/>
      <c r="AI18" s="30"/>
    </row>
    <row r="19" spans="1:39" x14ac:dyDescent="0.25">
      <c r="A19" s="303"/>
      <c r="B19" s="76"/>
      <c r="C19" s="328"/>
      <c r="D19" s="148"/>
      <c r="E19" s="71"/>
      <c r="F19" s="149"/>
      <c r="G19" s="100"/>
      <c r="H19" s="101"/>
      <c r="I19" s="108"/>
      <c r="J19" s="76"/>
      <c r="K19" s="101"/>
      <c r="L19" s="311"/>
      <c r="M19" s="330"/>
      <c r="N19" s="329"/>
      <c r="O19" s="144"/>
      <c r="P19" s="145"/>
      <c r="Q19" s="118"/>
      <c r="R19" s="83"/>
      <c r="S19" s="118"/>
      <c r="T19" s="85"/>
      <c r="U19" s="108"/>
      <c r="V19" s="85"/>
      <c r="W19" s="308"/>
      <c r="X19" s="83"/>
      <c r="Y19" s="133"/>
      <c r="Z19" s="83"/>
      <c r="AA19" s="309"/>
      <c r="AB19" s="89"/>
      <c r="AC19" s="329"/>
      <c r="AD19" s="30"/>
      <c r="AE19" s="30"/>
      <c r="AF19" s="30"/>
      <c r="AG19" s="30"/>
      <c r="AI19" s="30"/>
    </row>
    <row r="20" spans="1:39" x14ac:dyDescent="0.25">
      <c r="A20" s="303"/>
      <c r="B20" s="76"/>
      <c r="C20" s="328"/>
      <c r="D20" s="148"/>
      <c r="E20" s="71"/>
      <c r="F20" s="149"/>
      <c r="G20" s="100"/>
      <c r="H20" s="101"/>
      <c r="I20" s="108"/>
      <c r="J20" s="76"/>
      <c r="K20" s="101"/>
      <c r="L20" s="311"/>
      <c r="M20" s="116"/>
      <c r="N20" s="329"/>
      <c r="O20" s="144"/>
      <c r="P20" s="145"/>
      <c r="Q20" s="118"/>
      <c r="R20" s="83"/>
      <c r="S20" s="118"/>
      <c r="T20" s="85"/>
      <c r="U20" s="108"/>
      <c r="V20" s="85"/>
      <c r="W20" s="308"/>
      <c r="X20" s="83"/>
      <c r="Y20" s="133"/>
      <c r="Z20" s="83"/>
      <c r="AA20" s="309"/>
      <c r="AB20" s="89"/>
      <c r="AC20" s="329"/>
      <c r="AD20" s="30"/>
      <c r="AE20" s="30"/>
      <c r="AF20" s="30"/>
      <c r="AG20" s="30"/>
      <c r="AI20" s="30"/>
    </row>
    <row r="21" spans="1:39" ht="15.75" customHeight="1" x14ac:dyDescent="0.25">
      <c r="A21" s="303"/>
      <c r="B21" s="76"/>
      <c r="C21" s="328"/>
      <c r="D21" s="148"/>
      <c r="E21" s="71"/>
      <c r="F21" s="149"/>
      <c r="G21" s="100"/>
      <c r="H21" s="101"/>
      <c r="I21" s="108"/>
      <c r="J21" s="76"/>
      <c r="K21" s="101"/>
      <c r="L21" s="311"/>
      <c r="M21" s="116"/>
      <c r="N21" s="329"/>
      <c r="O21" s="144"/>
      <c r="P21" s="145"/>
      <c r="Q21" s="118"/>
      <c r="R21" s="83"/>
      <c r="S21" s="118"/>
      <c r="T21" s="85"/>
      <c r="U21" s="108"/>
      <c r="V21" s="85"/>
      <c r="W21" s="308"/>
      <c r="X21" s="83"/>
      <c r="Y21" s="133"/>
      <c r="Z21" s="83"/>
      <c r="AA21" s="309"/>
      <c r="AB21" s="89"/>
      <c r="AC21" s="329"/>
      <c r="AD21" s="30"/>
      <c r="AE21" s="30"/>
      <c r="AF21" s="30"/>
      <c r="AG21" s="30"/>
      <c r="AI21" s="30"/>
    </row>
    <row r="22" spans="1:39" ht="15.75" customHeight="1" x14ac:dyDescent="0.25">
      <c r="A22" s="303"/>
      <c r="B22" s="76"/>
      <c r="C22" s="328"/>
      <c r="D22" s="148"/>
      <c r="E22" s="71"/>
      <c r="F22" s="149"/>
      <c r="G22" s="100"/>
      <c r="H22" s="101"/>
      <c r="I22" s="108"/>
      <c r="J22" s="76"/>
      <c r="K22" s="101"/>
      <c r="L22" s="311"/>
      <c r="M22" s="116"/>
      <c r="N22" s="329"/>
      <c r="O22" s="144"/>
      <c r="P22" s="145"/>
      <c r="Q22" s="118"/>
      <c r="R22" s="83"/>
      <c r="S22" s="118"/>
      <c r="T22" s="85"/>
      <c r="U22" s="108"/>
      <c r="V22" s="85"/>
      <c r="W22" s="308"/>
      <c r="X22" s="83"/>
      <c r="Y22" s="133"/>
      <c r="Z22" s="83"/>
      <c r="AA22" s="309"/>
      <c r="AB22" s="89"/>
      <c r="AC22" s="329"/>
      <c r="AD22" s="30"/>
      <c r="AE22" s="30"/>
      <c r="AF22" s="30"/>
      <c r="AG22" s="30"/>
      <c r="AI22" s="30"/>
    </row>
    <row r="23" spans="1:39" ht="15.75" customHeight="1" x14ac:dyDescent="0.25">
      <c r="A23" s="303"/>
      <c r="B23" s="76"/>
      <c r="C23" s="328"/>
      <c r="D23" s="148"/>
      <c r="E23" s="71"/>
      <c r="F23" s="149"/>
      <c r="G23" s="100"/>
      <c r="H23" s="101"/>
      <c r="I23" s="108"/>
      <c r="J23" s="76"/>
      <c r="K23" s="101"/>
      <c r="L23" s="311"/>
      <c r="M23" s="116"/>
      <c r="N23" s="329"/>
      <c r="O23" s="144"/>
      <c r="P23" s="145"/>
      <c r="Q23" s="118"/>
      <c r="R23" s="83"/>
      <c r="S23" s="118"/>
      <c r="T23" s="85"/>
      <c r="U23" s="108"/>
      <c r="V23" s="85"/>
      <c r="W23" s="308"/>
      <c r="X23" s="83"/>
      <c r="Y23" s="133"/>
      <c r="Z23" s="83"/>
      <c r="AA23" s="309"/>
      <c r="AB23" s="89"/>
      <c r="AC23" s="329"/>
      <c r="AD23" s="30"/>
      <c r="AE23" s="30"/>
      <c r="AF23" s="30"/>
      <c r="AG23" s="30"/>
      <c r="AI23" s="30"/>
    </row>
    <row r="24" spans="1:39" ht="15.75" customHeight="1" x14ac:dyDescent="0.25">
      <c r="A24" s="303"/>
      <c r="B24" s="76"/>
      <c r="C24" s="328"/>
      <c r="D24" s="148"/>
      <c r="E24" s="71"/>
      <c r="F24" s="149"/>
      <c r="G24" s="100"/>
      <c r="H24" s="101"/>
      <c r="I24" s="108"/>
      <c r="J24" s="76"/>
      <c r="K24" s="101"/>
      <c r="L24" s="311"/>
      <c r="M24" s="116"/>
      <c r="N24" s="329"/>
      <c r="O24" s="144"/>
      <c r="P24" s="145"/>
      <c r="Q24" s="118"/>
      <c r="R24" s="83"/>
      <c r="S24" s="118"/>
      <c r="T24" s="85"/>
      <c r="U24" s="108"/>
      <c r="V24" s="85"/>
      <c r="W24" s="308"/>
      <c r="X24" s="83"/>
      <c r="Y24" s="133"/>
      <c r="Z24" s="83"/>
      <c r="AA24" s="309"/>
      <c r="AB24" s="89"/>
      <c r="AC24" s="329"/>
      <c r="AD24" s="30"/>
      <c r="AE24" s="30"/>
      <c r="AF24" s="30"/>
      <c r="AG24" s="30"/>
      <c r="AI24" s="30"/>
    </row>
    <row r="25" spans="1:39" ht="15.75" customHeight="1" x14ac:dyDescent="0.25">
      <c r="A25" s="331"/>
      <c r="B25" s="159"/>
      <c r="C25" s="332"/>
      <c r="D25" s="161"/>
      <c r="E25" s="333"/>
      <c r="F25" s="163"/>
      <c r="G25" s="164"/>
      <c r="H25" s="117"/>
      <c r="I25" s="334"/>
      <c r="J25" s="159"/>
      <c r="K25" s="117"/>
      <c r="L25" s="335"/>
      <c r="M25" s="336"/>
      <c r="N25" s="337"/>
      <c r="O25" s="169"/>
      <c r="P25" s="170"/>
      <c r="Q25" s="172"/>
      <c r="R25" s="338"/>
      <c r="S25" s="172"/>
      <c r="T25" s="39"/>
      <c r="U25" s="334"/>
      <c r="V25" s="39"/>
      <c r="W25" s="339"/>
      <c r="X25" s="173"/>
      <c r="Y25" s="340"/>
      <c r="Z25" s="173"/>
      <c r="AA25" s="341"/>
      <c r="AB25" s="176"/>
      <c r="AC25" s="342"/>
      <c r="AD25" s="30"/>
      <c r="AE25" s="30"/>
      <c r="AF25" s="30"/>
      <c r="AG25" s="30"/>
      <c r="AI25" s="30"/>
    </row>
    <row r="26" spans="1:39" ht="15.75" customHeight="1" x14ac:dyDescent="0.25">
      <c r="A26" s="1249" t="s">
        <v>102</v>
      </c>
      <c r="B26" s="1250"/>
      <c r="C26" s="1251"/>
      <c r="D26" s="343" t="s">
        <v>103</v>
      </c>
      <c r="E26" s="343" t="s">
        <v>61</v>
      </c>
      <c r="F26" s="344" t="s">
        <v>103</v>
      </c>
      <c r="G26" s="1252" t="s">
        <v>103</v>
      </c>
      <c r="H26" s="1251"/>
      <c r="I26" s="1252" t="s">
        <v>102</v>
      </c>
      <c r="J26" s="1250"/>
      <c r="K26" s="1251"/>
      <c r="L26" s="1253" t="s">
        <v>102</v>
      </c>
      <c r="M26" s="1250"/>
      <c r="N26" s="1251"/>
      <c r="O26" s="1252" t="s">
        <v>104</v>
      </c>
      <c r="P26" s="1251"/>
      <c r="Q26" s="1252" t="s">
        <v>104</v>
      </c>
      <c r="R26" s="1251"/>
      <c r="S26" s="1252" t="s">
        <v>104</v>
      </c>
      <c r="T26" s="1251"/>
      <c r="U26" s="1252" t="s">
        <v>104</v>
      </c>
      <c r="V26" s="1251"/>
      <c r="W26" s="1254" t="s">
        <v>102</v>
      </c>
      <c r="X26" s="1255"/>
      <c r="Y26" s="1256" t="s">
        <v>102</v>
      </c>
      <c r="Z26" s="1255"/>
      <c r="AA26" s="1240" t="s">
        <v>102</v>
      </c>
      <c r="AB26" s="1241"/>
      <c r="AC26" s="1242"/>
      <c r="AE26" s="30"/>
      <c r="AF26" s="30"/>
      <c r="AG26" s="30"/>
      <c r="AI26" s="30"/>
    </row>
    <row r="27" spans="1:39" ht="15.75" customHeight="1" x14ac:dyDescent="0.25">
      <c r="A27" s="345">
        <f>SUM(A3:A25)</f>
        <v>4561.0599999999995</v>
      </c>
      <c r="B27" s="346"/>
      <c r="C27" s="196">
        <f t="shared" ref="C27:D27" si="0">SUM(C3:C25)</f>
        <v>0</v>
      </c>
      <c r="D27" s="197">
        <f t="shared" si="0"/>
        <v>999.11000000000013</v>
      </c>
      <c r="E27" s="203">
        <v>0</v>
      </c>
      <c r="F27" s="347">
        <f t="shared" ref="F27:I27" si="1">SUM(F3:F25)</f>
        <v>0</v>
      </c>
      <c r="G27" s="197">
        <f t="shared" si="1"/>
        <v>89.1</v>
      </c>
      <c r="H27" s="199">
        <f t="shared" si="1"/>
        <v>116.9</v>
      </c>
      <c r="I27" s="197">
        <f t="shared" si="1"/>
        <v>607.25</v>
      </c>
      <c r="J27" s="348"/>
      <c r="K27" s="349">
        <f t="shared" ref="K27:L27" si="2">SUM(K3:K25)</f>
        <v>0</v>
      </c>
      <c r="L27" s="350">
        <f t="shared" si="2"/>
        <v>0</v>
      </c>
      <c r="M27" s="351">
        <f>N3+N4+N5+N6+N13+N14+N15+N16+N17</f>
        <v>318.46999999999997</v>
      </c>
      <c r="N27" s="352">
        <f>N7+N8+N9+N10+N11+N12</f>
        <v>242.17999999999998</v>
      </c>
      <c r="O27" s="353">
        <f>O3+O5</f>
        <v>990.18000000000029</v>
      </c>
      <c r="P27" s="354">
        <f>P3</f>
        <v>0</v>
      </c>
      <c r="Q27" s="203">
        <f>SUM(Q3:Q25)</f>
        <v>610</v>
      </c>
      <c r="R27" s="355">
        <v>0</v>
      </c>
      <c r="S27" s="203">
        <f>SUM(S3:S25)</f>
        <v>305</v>
      </c>
      <c r="T27" s="356">
        <v>0</v>
      </c>
      <c r="U27" s="357">
        <f>SUM(U3:U25)</f>
        <v>650</v>
      </c>
      <c r="V27" s="356">
        <v>850</v>
      </c>
      <c r="W27" s="1247">
        <f>SUM(W3:W25)</f>
        <v>400</v>
      </c>
      <c r="X27" s="1248"/>
      <c r="Y27" s="1247">
        <f>SUM(Y3:Y25)</f>
        <v>300</v>
      </c>
      <c r="Z27" s="1248"/>
      <c r="AA27" s="358">
        <f>SUM(AA3:AA25)</f>
        <v>0</v>
      </c>
      <c r="AB27" s="359"/>
      <c r="AC27" s="360">
        <f>SUM(AC3:AC25)</f>
        <v>4400</v>
      </c>
      <c r="AE27" s="30"/>
      <c r="AF27" s="30"/>
      <c r="AG27" s="30"/>
      <c r="AI27" s="30"/>
    </row>
    <row r="28" spans="1:39" ht="15.75" customHeight="1" x14ac:dyDescent="0.25">
      <c r="U28">
        <v>550</v>
      </c>
      <c r="V28" t="s">
        <v>105</v>
      </c>
      <c r="AE28" s="30"/>
      <c r="AF28" s="30"/>
      <c r="AG28" s="30"/>
      <c r="AI28" s="30"/>
    </row>
    <row r="29" spans="1:39" ht="15.75" customHeight="1" x14ac:dyDescent="0.25">
      <c r="U29">
        <v>100</v>
      </c>
      <c r="AE29" s="30"/>
      <c r="AF29" s="30"/>
      <c r="AG29" s="30"/>
      <c r="AI29" s="30"/>
    </row>
    <row r="30" spans="1:39" ht="15.75" customHeight="1" x14ac:dyDescent="0.25">
      <c r="E30" s="30"/>
      <c r="F30" s="30"/>
      <c r="G30" s="30"/>
      <c r="M30" s="30"/>
      <c r="P30" s="30"/>
      <c r="R30" s="30"/>
      <c r="T30" s="30"/>
      <c r="U30" s="30"/>
      <c r="AF30" s="30"/>
      <c r="AG30" s="30"/>
      <c r="AI30" s="30"/>
      <c r="AJ30" s="30"/>
      <c r="AK30" s="30"/>
      <c r="AM30" s="30"/>
    </row>
    <row r="31" spans="1:39" ht="15.75" customHeight="1" x14ac:dyDescent="0.25">
      <c r="E31" s="30"/>
      <c r="F31" s="30"/>
      <c r="G31" s="30"/>
      <c r="J31" s="30"/>
      <c r="K31" s="30"/>
      <c r="L31" s="30"/>
      <c r="M31" s="30"/>
      <c r="P31" s="30"/>
      <c r="R31" s="30"/>
      <c r="T31" s="30"/>
      <c r="U31" s="361"/>
      <c r="AF31" s="30"/>
      <c r="AG31" s="30"/>
      <c r="AI31" s="30"/>
      <c r="AJ31" s="30"/>
      <c r="AK31" s="30"/>
      <c r="AM31" s="30"/>
    </row>
    <row r="32" spans="1:39" ht="15.75" customHeight="1" x14ac:dyDescent="0.25">
      <c r="E32" s="30"/>
      <c r="F32" s="30"/>
      <c r="G32" s="30"/>
      <c r="J32" s="30"/>
      <c r="K32" s="30"/>
      <c r="L32" s="30"/>
      <c r="M32" s="30"/>
      <c r="P32" s="30"/>
      <c r="R32" s="30"/>
      <c r="T32" s="30"/>
      <c r="U32" s="30"/>
      <c r="AF32" s="30"/>
      <c r="AG32" s="30"/>
      <c r="AI32" s="30"/>
      <c r="AJ32" s="30"/>
      <c r="AK32" s="30"/>
      <c r="AM32" s="30"/>
    </row>
    <row r="33" spans="5:39" ht="15.75" customHeight="1" x14ac:dyDescent="0.25">
      <c r="E33" s="30"/>
      <c r="F33" s="30"/>
      <c r="G33" s="30"/>
      <c r="J33" s="30"/>
      <c r="K33" s="30"/>
      <c r="L33" s="30"/>
      <c r="M33" s="30"/>
      <c r="P33" s="30"/>
      <c r="Q33" s="30"/>
      <c r="R33" s="30"/>
      <c r="T33" s="30"/>
      <c r="U33" s="30"/>
      <c r="AF33" s="30"/>
      <c r="AG33" s="30"/>
      <c r="AI33" s="30"/>
      <c r="AJ33" s="30"/>
      <c r="AK33" s="30"/>
      <c r="AM33" s="30"/>
    </row>
    <row r="34" spans="5:39" ht="15.75" customHeight="1" x14ac:dyDescent="0.25">
      <c r="E34" s="30"/>
      <c r="F34" s="30"/>
      <c r="G34" s="30"/>
      <c r="J34" s="30"/>
      <c r="K34" s="30"/>
      <c r="L34" s="30"/>
      <c r="M34" s="30"/>
      <c r="P34" s="30"/>
      <c r="Q34" s="30"/>
      <c r="R34" s="30"/>
      <c r="T34" s="30"/>
      <c r="U34" s="30"/>
      <c r="AF34" s="30"/>
      <c r="AG34" s="30"/>
      <c r="AI34" s="30"/>
      <c r="AJ34" s="30"/>
      <c r="AK34" s="30"/>
      <c r="AM34" s="30"/>
    </row>
    <row r="35" spans="5:39" ht="15.75" customHeight="1" x14ac:dyDescent="0.25">
      <c r="E35" s="30"/>
      <c r="F35" s="30"/>
      <c r="G35" s="30"/>
      <c r="J35" s="30"/>
      <c r="K35" s="30"/>
      <c r="L35" s="30"/>
      <c r="M35" s="30"/>
      <c r="P35" s="30"/>
      <c r="Q35" s="30"/>
      <c r="R35" s="30"/>
      <c r="T35" s="30"/>
      <c r="U35" s="30"/>
      <c r="AF35" s="30"/>
      <c r="AG35" s="30"/>
      <c r="AI35" s="30"/>
      <c r="AJ35" s="30"/>
      <c r="AK35" s="30"/>
      <c r="AM35" s="30"/>
    </row>
    <row r="36" spans="5:39" ht="15.75" customHeight="1" x14ac:dyDescent="0.25">
      <c r="Q36" s="30"/>
    </row>
    <row r="37" spans="5:39" ht="15.75" customHeight="1" x14ac:dyDescent="0.25">
      <c r="Q37" s="30"/>
    </row>
    <row r="38" spans="5:39" ht="15.75" customHeight="1" x14ac:dyDescent="0.25"/>
    <row r="39" spans="5:39" ht="15.75" customHeight="1" x14ac:dyDescent="0.25"/>
    <row r="40" spans="5:39" ht="15.75" customHeight="1" x14ac:dyDescent="0.25"/>
    <row r="41" spans="5:39" ht="15.75" customHeight="1" x14ac:dyDescent="0.25"/>
    <row r="42" spans="5:39" ht="15.75" customHeight="1" x14ac:dyDescent="0.25"/>
    <row r="43" spans="5:39" ht="15.75" customHeight="1" x14ac:dyDescent="0.25"/>
    <row r="44" spans="5:39" ht="15.75" customHeight="1" x14ac:dyDescent="0.25"/>
    <row r="45" spans="5:39" ht="15.75" customHeight="1" x14ac:dyDescent="0.25"/>
    <row r="46" spans="5:39" ht="15.75" customHeight="1" x14ac:dyDescent="0.25"/>
    <row r="47" spans="5:39" ht="15.75" customHeight="1" x14ac:dyDescent="0.25"/>
    <row r="48" spans="5:3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27">
    <mergeCell ref="Y27:Z27"/>
    <mergeCell ref="A26:C26"/>
    <mergeCell ref="I26:K26"/>
    <mergeCell ref="L26:N26"/>
    <mergeCell ref="Q26:R26"/>
    <mergeCell ref="G26:H26"/>
    <mergeCell ref="W27:X27"/>
    <mergeCell ref="W26:X26"/>
    <mergeCell ref="S26:T26"/>
    <mergeCell ref="U26:V26"/>
    <mergeCell ref="O26:P26"/>
    <mergeCell ref="Y26:Z26"/>
    <mergeCell ref="AD1:AE1"/>
    <mergeCell ref="AF1:AG1"/>
    <mergeCell ref="Q1:Z1"/>
    <mergeCell ref="AD9:AE9"/>
    <mergeCell ref="AD4:AE4"/>
    <mergeCell ref="AF4:AG4"/>
    <mergeCell ref="AA26:AC26"/>
    <mergeCell ref="O5:P5"/>
    <mergeCell ref="A1:F1"/>
    <mergeCell ref="G1:H1"/>
    <mergeCell ref="I1:K1"/>
    <mergeCell ref="L1:N1"/>
    <mergeCell ref="O1:P1"/>
    <mergeCell ref="O4:P4"/>
    <mergeCell ref="AA1:AC1"/>
  </mergeCells>
  <pageMargins left="0.7" right="0.7" top="0.75" bottom="0.75" header="0" footer="0"/>
  <pageSetup orientation="landscape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E82A77-6F7A-9140-824C-005F4FF44E1D}">
  <dimension ref="A1:V45"/>
  <sheetViews>
    <sheetView topLeftCell="AB1" zoomScaleNormal="60" zoomScaleSheetLayoutView="100" workbookViewId="0">
      <selection activeCell="H5" sqref="H5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5.85546875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425781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44501</v>
      </c>
      <c r="B2" s="656" t="str">
        <f t="shared" ref="B2:B35" si="0">CHOOSE(WEEKDAY(V2),"Po","Út","St","Čt","Pá","So","Ne")</f>
        <v>Po</v>
      </c>
      <c r="C2" s="748">
        <f t="shared" ref="C2:C35" si="1">G2-E2-F2</f>
        <v>0</v>
      </c>
      <c r="D2" s="836">
        <f t="shared" ref="D2:D35" si="2">(N2*C2)*24</f>
        <v>0</v>
      </c>
      <c r="E2" s="723"/>
      <c r="F2" s="726"/>
      <c r="G2" s="726"/>
      <c r="H2" s="653"/>
      <c r="I2" s="656"/>
      <c r="J2" s="653"/>
      <c r="K2" s="656"/>
      <c r="L2" s="653"/>
      <c r="M2" s="656"/>
      <c r="N2" s="713">
        <v>0</v>
      </c>
      <c r="O2" s="834">
        <f>(O4+O6)</f>
        <v>199.5</v>
      </c>
      <c r="P2" s="716">
        <v>199.5</v>
      </c>
      <c r="Q2" s="853">
        <f>'10hod21'!Q5</f>
        <v>42139</v>
      </c>
      <c r="R2" s="644" t="s">
        <v>17</v>
      </c>
      <c r="S2" s="644" t="s">
        <v>430</v>
      </c>
      <c r="T2" s="875">
        <v>44516</v>
      </c>
      <c r="U2" s="722">
        <f>T7*20</f>
        <v>0</v>
      </c>
      <c r="V2" s="642">
        <f t="shared" ref="V2:V32" si="3">WEEKDAY(A2,2)</f>
        <v>1</v>
      </c>
    </row>
    <row r="3" spans="1:22" ht="15.75" thickBot="1" x14ac:dyDescent="0.3">
      <c r="A3" s="651">
        <v>44502</v>
      </c>
      <c r="B3" s="657" t="str">
        <f t="shared" si="0"/>
        <v>Út</v>
      </c>
      <c r="C3" s="748">
        <f t="shared" si="1"/>
        <v>0</v>
      </c>
      <c r="D3" s="837">
        <f t="shared" si="2"/>
        <v>0</v>
      </c>
      <c r="E3" s="724"/>
      <c r="F3" s="726"/>
      <c r="G3" s="727"/>
      <c r="H3" s="654"/>
      <c r="I3" s="657"/>
      <c r="J3" s="654"/>
      <c r="K3" s="657"/>
      <c r="L3" s="654"/>
      <c r="M3" s="657"/>
      <c r="N3" s="714">
        <v>0</v>
      </c>
      <c r="O3" s="711" t="s">
        <v>19</v>
      </c>
      <c r="P3" s="717" t="s">
        <v>19</v>
      </c>
      <c r="Q3" s="738">
        <v>0</v>
      </c>
      <c r="R3" s="611" t="s">
        <v>17</v>
      </c>
      <c r="S3" s="611" t="s">
        <v>210</v>
      </c>
      <c r="T3" s="646"/>
      <c r="U3" s="718"/>
      <c r="V3" s="642">
        <f t="shared" si="3"/>
        <v>2</v>
      </c>
    </row>
    <row r="4" spans="1:22" ht="15.75" thickBot="1" x14ac:dyDescent="0.3">
      <c r="A4" s="651">
        <v>44503</v>
      </c>
      <c r="B4" s="657" t="str">
        <f t="shared" si="0"/>
        <v>St</v>
      </c>
      <c r="C4" s="748">
        <f t="shared" si="1"/>
        <v>0</v>
      </c>
      <c r="D4" s="837">
        <f t="shared" si="2"/>
        <v>0</v>
      </c>
      <c r="E4" s="724"/>
      <c r="F4" s="726"/>
      <c r="G4" s="727"/>
      <c r="H4" s="654"/>
      <c r="I4" s="657"/>
      <c r="J4" s="654"/>
      <c r="K4" s="657"/>
      <c r="L4" s="654"/>
      <c r="M4" s="657"/>
      <c r="N4" s="714">
        <v>0</v>
      </c>
      <c r="O4" s="835">
        <f>O40*24</f>
        <v>199.5</v>
      </c>
      <c r="P4" s="717">
        <v>0</v>
      </c>
      <c r="Q4" s="738">
        <v>0</v>
      </c>
      <c r="R4" s="611" t="s">
        <v>17</v>
      </c>
      <c r="S4" s="611" t="s">
        <v>210</v>
      </c>
      <c r="T4" s="646"/>
      <c r="U4" s="718"/>
      <c r="V4" s="642">
        <f t="shared" si="3"/>
        <v>3</v>
      </c>
    </row>
    <row r="5" spans="1:22" ht="15.75" thickBot="1" x14ac:dyDescent="0.3">
      <c r="A5" s="651">
        <v>44504</v>
      </c>
      <c r="B5" s="657" t="str">
        <f t="shared" si="0"/>
        <v>Čt</v>
      </c>
      <c r="C5" s="748">
        <f t="shared" si="1"/>
        <v>0.41666666666666663</v>
      </c>
      <c r="D5" s="837">
        <f t="shared" si="2"/>
        <v>60</v>
      </c>
      <c r="E5" s="724">
        <v>0.29166666666666669</v>
      </c>
      <c r="F5" s="726">
        <f>TIME(1,0,0)</f>
        <v>4.1666666666666664E-2</v>
      </c>
      <c r="G5" s="727">
        <v>0.75</v>
      </c>
      <c r="H5" s="876" t="s">
        <v>452</v>
      </c>
      <c r="I5" s="657" t="s">
        <v>450</v>
      </c>
      <c r="J5" s="654" t="s">
        <v>451</v>
      </c>
      <c r="K5" s="657" t="s">
        <v>326</v>
      </c>
      <c r="L5" s="654" t="s">
        <v>300</v>
      </c>
      <c r="M5" s="657">
        <v>31</v>
      </c>
      <c r="N5" s="714">
        <v>6</v>
      </c>
      <c r="O5" s="711" t="s">
        <v>14</v>
      </c>
      <c r="P5" s="717" t="s">
        <v>14</v>
      </c>
      <c r="Q5" s="738">
        <v>46891</v>
      </c>
      <c r="R5" s="611" t="s">
        <v>17</v>
      </c>
      <c r="S5" s="611" t="s">
        <v>431</v>
      </c>
      <c r="T5" s="874">
        <v>44546</v>
      </c>
      <c r="U5" s="718"/>
      <c r="V5" s="642">
        <f t="shared" si="3"/>
        <v>4</v>
      </c>
    </row>
    <row r="6" spans="1:22" ht="15.75" thickBot="1" x14ac:dyDescent="0.3">
      <c r="A6" s="651">
        <v>44505</v>
      </c>
      <c r="B6" s="657" t="str">
        <f t="shared" si="0"/>
        <v>Pá</v>
      </c>
      <c r="C6" s="748">
        <f t="shared" si="1"/>
        <v>0.41666666666666663</v>
      </c>
      <c r="D6" s="837">
        <f t="shared" si="2"/>
        <v>60</v>
      </c>
      <c r="E6" s="724">
        <v>0.29166666666666669</v>
      </c>
      <c r="F6" s="726">
        <f>TIME(1,0,0)</f>
        <v>4.1666666666666664E-2</v>
      </c>
      <c r="G6" s="727">
        <v>0.75</v>
      </c>
      <c r="H6" s="654" t="s">
        <v>452</v>
      </c>
      <c r="I6" s="657" t="s">
        <v>450</v>
      </c>
      <c r="J6" s="654" t="s">
        <v>451</v>
      </c>
      <c r="K6" s="657" t="s">
        <v>326</v>
      </c>
      <c r="L6" s="654" t="s">
        <v>300</v>
      </c>
      <c r="M6" s="657">
        <v>31</v>
      </c>
      <c r="N6" s="714">
        <v>6</v>
      </c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3"/>
        <v>5</v>
      </c>
    </row>
    <row r="7" spans="1:22" ht="15.75" thickBot="1" x14ac:dyDescent="0.3">
      <c r="A7" s="651">
        <v>44506</v>
      </c>
      <c r="B7" s="657" t="str">
        <f t="shared" si="0"/>
        <v>So</v>
      </c>
      <c r="C7" s="748">
        <f t="shared" si="1"/>
        <v>0</v>
      </c>
      <c r="D7" s="837">
        <f t="shared" si="2"/>
        <v>0</v>
      </c>
      <c r="E7" s="724"/>
      <c r="F7" s="726"/>
      <c r="G7" s="727"/>
      <c r="H7" s="654" t="s">
        <v>452</v>
      </c>
      <c r="I7" s="657" t="s">
        <v>450</v>
      </c>
      <c r="J7" s="654" t="s">
        <v>451</v>
      </c>
      <c r="K7" s="657"/>
      <c r="L7" s="654"/>
      <c r="M7" s="657"/>
      <c r="N7" s="714">
        <v>0</v>
      </c>
      <c r="O7" s="711" t="s">
        <v>20</v>
      </c>
      <c r="P7" s="646" t="s">
        <v>20</v>
      </c>
      <c r="Q7" s="721">
        <f>Q3+Q4</f>
        <v>0</v>
      </c>
      <c r="R7" s="718"/>
      <c r="S7" s="718"/>
      <c r="T7" s="718"/>
      <c r="U7" s="718"/>
      <c r="V7" s="642">
        <f t="shared" si="3"/>
        <v>6</v>
      </c>
    </row>
    <row r="8" spans="1:22" ht="15.75" thickBot="1" x14ac:dyDescent="0.3">
      <c r="A8" s="651">
        <v>44507</v>
      </c>
      <c r="B8" s="657" t="str">
        <f t="shared" si="0"/>
        <v>Ne</v>
      </c>
      <c r="C8" s="748">
        <f t="shared" si="1"/>
        <v>0</v>
      </c>
      <c r="D8" s="837">
        <f t="shared" si="2"/>
        <v>0</v>
      </c>
      <c r="E8" s="724"/>
      <c r="F8" s="726"/>
      <c r="G8" s="727"/>
      <c r="H8" s="654" t="s">
        <v>452</v>
      </c>
      <c r="I8" s="657" t="s">
        <v>450</v>
      </c>
      <c r="J8" s="654" t="s">
        <v>451</v>
      </c>
      <c r="K8" s="657"/>
      <c r="L8" s="654"/>
      <c r="M8" s="657"/>
      <c r="N8" s="714">
        <v>0</v>
      </c>
      <c r="O8" s="711" t="s">
        <v>22</v>
      </c>
      <c r="P8" s="646" t="s">
        <v>22</v>
      </c>
      <c r="Q8" s="657" t="s">
        <v>229</v>
      </c>
      <c r="R8" s="718"/>
      <c r="S8" s="718"/>
      <c r="T8" s="718"/>
      <c r="U8" s="718"/>
      <c r="V8" s="642">
        <f t="shared" si="3"/>
        <v>7</v>
      </c>
    </row>
    <row r="9" spans="1:22" ht="15.75" thickBot="1" x14ac:dyDescent="0.3">
      <c r="A9" s="651">
        <v>44508</v>
      </c>
      <c r="B9" s="657" t="str">
        <f t="shared" si="0"/>
        <v>Po</v>
      </c>
      <c r="C9" s="748">
        <f t="shared" si="1"/>
        <v>0.41666666666666663</v>
      </c>
      <c r="D9" s="837">
        <f t="shared" si="2"/>
        <v>60</v>
      </c>
      <c r="E9" s="724">
        <v>0.29166666666666669</v>
      </c>
      <c r="F9" s="726">
        <f>TIME(1,0,0)</f>
        <v>4.1666666666666664E-2</v>
      </c>
      <c r="G9" s="727">
        <v>0.75</v>
      </c>
      <c r="H9" s="654" t="s">
        <v>452</v>
      </c>
      <c r="I9" s="657" t="s">
        <v>450</v>
      </c>
      <c r="J9" s="654" t="s">
        <v>451</v>
      </c>
      <c r="K9" s="657"/>
      <c r="L9" s="654"/>
      <c r="M9" s="657"/>
      <c r="N9" s="714">
        <v>6</v>
      </c>
      <c r="O9" s="711" t="s">
        <v>23</v>
      </c>
      <c r="P9" s="646" t="s">
        <v>23</v>
      </c>
      <c r="Q9" s="657">
        <f>SUM(Q2:Q4)</f>
        <v>42139</v>
      </c>
      <c r="R9" s="718"/>
      <c r="S9" s="718"/>
      <c r="T9" s="718"/>
      <c r="U9" s="718"/>
      <c r="V9" s="642">
        <f t="shared" si="3"/>
        <v>1</v>
      </c>
    </row>
    <row r="10" spans="1:22" ht="15.75" thickBot="1" x14ac:dyDescent="0.3">
      <c r="A10" s="651">
        <v>44509</v>
      </c>
      <c r="B10" s="657" t="str">
        <f t="shared" si="0"/>
        <v>Út</v>
      </c>
      <c r="C10" s="748">
        <f t="shared" si="1"/>
        <v>0.41666666666666663</v>
      </c>
      <c r="D10" s="837">
        <f t="shared" si="2"/>
        <v>60</v>
      </c>
      <c r="E10" s="724">
        <v>0.29166666666666669</v>
      </c>
      <c r="F10" s="726">
        <f>TIME(1,0,0)</f>
        <v>4.1666666666666664E-2</v>
      </c>
      <c r="G10" s="727">
        <v>0.75</v>
      </c>
      <c r="H10" s="654" t="s">
        <v>452</v>
      </c>
      <c r="I10" s="657" t="s">
        <v>450</v>
      </c>
      <c r="J10" s="654" t="s">
        <v>451</v>
      </c>
      <c r="K10" s="657"/>
      <c r="L10" s="654"/>
      <c r="M10" s="657"/>
      <c r="N10" s="714">
        <v>6</v>
      </c>
      <c r="O10" s="738">
        <f>(O2*380)+U2</f>
        <v>75810</v>
      </c>
      <c r="P10" s="747">
        <f>SUM(P2*380)</f>
        <v>75810</v>
      </c>
      <c r="Q10" s="923"/>
      <c r="R10" s="1001"/>
      <c r="S10" s="1001"/>
      <c r="T10" s="1001"/>
      <c r="U10" s="1001"/>
      <c r="V10" s="642">
        <f t="shared" si="3"/>
        <v>2</v>
      </c>
    </row>
    <row r="11" spans="1:22" ht="15.75" thickBot="1" x14ac:dyDescent="0.3">
      <c r="A11" s="651">
        <v>44510</v>
      </c>
      <c r="B11" s="657" t="str">
        <f t="shared" si="0"/>
        <v>St</v>
      </c>
      <c r="C11" s="748">
        <f t="shared" si="1"/>
        <v>0.4375</v>
      </c>
      <c r="D11" s="837">
        <f t="shared" si="2"/>
        <v>63</v>
      </c>
      <c r="E11" s="724">
        <v>0.29166666666666669</v>
      </c>
      <c r="F11" s="726">
        <f>TIME(0,30,0)</f>
        <v>2.0833333333333332E-2</v>
      </c>
      <c r="G11" s="727">
        <v>0.75</v>
      </c>
      <c r="H11" s="654" t="s">
        <v>452</v>
      </c>
      <c r="I11" s="657" t="s">
        <v>450</v>
      </c>
      <c r="J11" s="654" t="s">
        <v>451</v>
      </c>
      <c r="K11" s="657"/>
      <c r="L11" s="654"/>
      <c r="M11" s="657"/>
      <c r="N11" s="714">
        <v>6</v>
      </c>
      <c r="O11" s="711" t="s">
        <v>361</v>
      </c>
      <c r="P11" s="646" t="s">
        <v>361</v>
      </c>
      <c r="Q11" s="1001"/>
      <c r="R11" s="1001"/>
      <c r="S11" s="1001"/>
      <c r="T11" s="1001"/>
      <c r="U11" s="1001"/>
      <c r="V11" s="642">
        <f t="shared" si="3"/>
        <v>3</v>
      </c>
    </row>
    <row r="12" spans="1:22" ht="15.75" thickBot="1" x14ac:dyDescent="0.3">
      <c r="A12" s="651">
        <v>44511</v>
      </c>
      <c r="B12" s="657" t="str">
        <f t="shared" si="0"/>
        <v>Čt</v>
      </c>
      <c r="C12" s="748">
        <f t="shared" si="1"/>
        <v>0.41666666666666663</v>
      </c>
      <c r="D12" s="837">
        <f t="shared" si="2"/>
        <v>49.999999999999993</v>
      </c>
      <c r="E12" s="724">
        <v>0.29166666666666669</v>
      </c>
      <c r="F12" s="726">
        <f>TIME(1,0,0)</f>
        <v>4.1666666666666664E-2</v>
      </c>
      <c r="G12" s="727">
        <v>0.75</v>
      </c>
      <c r="H12" s="654" t="s">
        <v>452</v>
      </c>
      <c r="I12" s="657" t="s">
        <v>450</v>
      </c>
      <c r="J12" s="654" t="s">
        <v>451</v>
      </c>
      <c r="K12" s="657"/>
      <c r="L12" s="654"/>
      <c r="M12" s="657"/>
      <c r="N12" s="714">
        <v>5</v>
      </c>
      <c r="O12" s="738">
        <f>(O10+O20+O18-O22)-O14-P24</f>
        <v>51775</v>
      </c>
      <c r="P12" s="747">
        <f>(P10+P18+P20-P22)-P14-P24</f>
        <v>51775</v>
      </c>
      <c r="Q12" s="1001"/>
      <c r="R12" s="1001"/>
      <c r="S12" s="1001"/>
      <c r="T12" s="1001"/>
      <c r="U12" s="1001"/>
      <c r="V12" s="642">
        <f t="shared" si="3"/>
        <v>4</v>
      </c>
    </row>
    <row r="13" spans="1:22" ht="15.75" thickBot="1" x14ac:dyDescent="0.3">
      <c r="A13" s="651">
        <v>44512</v>
      </c>
      <c r="B13" s="657" t="str">
        <f t="shared" si="0"/>
        <v>Pá</v>
      </c>
      <c r="C13" s="748">
        <f t="shared" si="1"/>
        <v>0.41666666666666663</v>
      </c>
      <c r="D13" s="837">
        <f t="shared" si="2"/>
        <v>49.999999999999993</v>
      </c>
      <c r="E13" s="724">
        <v>0.29166666666666669</v>
      </c>
      <c r="F13" s="726">
        <f>TIME(1,0,0)</f>
        <v>4.1666666666666664E-2</v>
      </c>
      <c r="G13" s="727">
        <v>0.75</v>
      </c>
      <c r="H13" s="654" t="s">
        <v>452</v>
      </c>
      <c r="I13" s="657" t="s">
        <v>450</v>
      </c>
      <c r="J13" s="654" t="s">
        <v>451</v>
      </c>
      <c r="K13" s="657"/>
      <c r="L13" s="654"/>
      <c r="M13" s="657"/>
      <c r="N13" s="714">
        <v>5</v>
      </c>
      <c r="O13" s="711" t="s">
        <v>26</v>
      </c>
      <c r="P13" s="747" t="s">
        <v>26</v>
      </c>
      <c r="Q13" s="1001"/>
      <c r="R13" s="1001"/>
      <c r="S13" s="1001"/>
      <c r="T13" s="1001"/>
      <c r="U13" s="1001"/>
      <c r="V13" s="642">
        <f t="shared" si="3"/>
        <v>5</v>
      </c>
    </row>
    <row r="14" spans="1:22" ht="15.75" thickBot="1" x14ac:dyDescent="0.3">
      <c r="A14" s="651">
        <v>44513</v>
      </c>
      <c r="B14" s="657" t="str">
        <f t="shared" si="0"/>
        <v>So</v>
      </c>
      <c r="C14" s="748">
        <f t="shared" si="1"/>
        <v>0.33333333333333337</v>
      </c>
      <c r="D14" s="837">
        <f t="shared" si="2"/>
        <v>48</v>
      </c>
      <c r="E14" s="724">
        <v>0.29166666666666669</v>
      </c>
      <c r="F14" s="726">
        <f>TIME(0,30,0)</f>
        <v>2.0833333333333332E-2</v>
      </c>
      <c r="G14" s="727">
        <v>0.64583333333333337</v>
      </c>
      <c r="H14" s="654" t="s">
        <v>452</v>
      </c>
      <c r="I14" s="657" t="s">
        <v>450</v>
      </c>
      <c r="J14" s="654" t="s">
        <v>451</v>
      </c>
      <c r="K14" s="657"/>
      <c r="L14" s="654"/>
      <c r="M14" s="657"/>
      <c r="N14" s="714">
        <v>6</v>
      </c>
      <c r="O14" s="738">
        <f>(O16*25.53)</f>
        <v>10212</v>
      </c>
      <c r="P14" s="747">
        <f>(P16*25.53)</f>
        <v>10212</v>
      </c>
      <c r="Q14" s="923" t="s">
        <v>458</v>
      </c>
      <c r="R14" s="1004">
        <f>P14+P22-P18</f>
        <v>8988</v>
      </c>
      <c r="S14" s="1007"/>
      <c r="T14" s="923" t="s">
        <v>462</v>
      </c>
      <c r="U14" s="1004">
        <f>P14+P22</f>
        <v>10212</v>
      </c>
      <c r="V14" s="642">
        <f t="shared" si="3"/>
        <v>6</v>
      </c>
    </row>
    <row r="15" spans="1:22" ht="15.75" thickBot="1" x14ac:dyDescent="0.3">
      <c r="A15" s="651">
        <v>44514</v>
      </c>
      <c r="B15" s="657" t="str">
        <f t="shared" si="0"/>
        <v>Ne</v>
      </c>
      <c r="C15" s="748">
        <f t="shared" si="1"/>
        <v>0</v>
      </c>
      <c r="D15" s="837">
        <f t="shared" si="2"/>
        <v>0</v>
      </c>
      <c r="E15" s="724"/>
      <c r="F15" s="726"/>
      <c r="G15" s="727"/>
      <c r="H15" s="654" t="s">
        <v>452</v>
      </c>
      <c r="I15" s="657" t="s">
        <v>450</v>
      </c>
      <c r="J15" s="654" t="s">
        <v>451</v>
      </c>
      <c r="K15" s="657"/>
      <c r="L15" s="654"/>
      <c r="M15" s="657"/>
      <c r="N15" s="714">
        <v>0</v>
      </c>
      <c r="O15" s="711" t="s">
        <v>29</v>
      </c>
      <c r="P15" s="646" t="s">
        <v>29</v>
      </c>
      <c r="Q15" s="1001" t="s">
        <v>459</v>
      </c>
      <c r="R15" s="1002">
        <f>P10</f>
        <v>75810</v>
      </c>
      <c r="S15" s="1008"/>
      <c r="T15" s="1001" t="s">
        <v>463</v>
      </c>
      <c r="U15" s="1002">
        <f>P10+P18+P20</f>
        <v>77034</v>
      </c>
      <c r="V15" s="642">
        <f t="shared" si="3"/>
        <v>7</v>
      </c>
    </row>
    <row r="16" spans="1:22" ht="15.75" thickBot="1" x14ac:dyDescent="0.3">
      <c r="A16" s="651">
        <v>44515</v>
      </c>
      <c r="B16" s="657" t="str">
        <f t="shared" si="0"/>
        <v>Po</v>
      </c>
      <c r="C16" s="748">
        <f t="shared" si="1"/>
        <v>0.41666666666666663</v>
      </c>
      <c r="D16" s="837">
        <f t="shared" si="2"/>
        <v>60</v>
      </c>
      <c r="E16" s="724">
        <v>0.29166666666666669</v>
      </c>
      <c r="F16" s="726">
        <f>TIME(1,0,0)</f>
        <v>4.1666666666666664E-2</v>
      </c>
      <c r="G16" s="727">
        <v>0.75</v>
      </c>
      <c r="H16" s="654" t="s">
        <v>452</v>
      </c>
      <c r="I16" s="657" t="s">
        <v>450</v>
      </c>
      <c r="J16" s="654" t="s">
        <v>451</v>
      </c>
      <c r="K16" s="657"/>
      <c r="L16" s="654"/>
      <c r="M16" s="657"/>
      <c r="N16" s="714">
        <v>6</v>
      </c>
      <c r="O16" s="893">
        <f>'07cash21'!O36</f>
        <v>400</v>
      </c>
      <c r="P16" s="894">
        <v>400</v>
      </c>
      <c r="Q16" s="1001"/>
      <c r="R16" s="1003">
        <f>R15-R14</f>
        <v>66822</v>
      </c>
      <c r="S16" s="1008"/>
      <c r="T16" s="1001"/>
      <c r="U16" s="1002">
        <f>U15-U14</f>
        <v>66822</v>
      </c>
      <c r="V16" s="642">
        <f t="shared" si="3"/>
        <v>1</v>
      </c>
    </row>
    <row r="17" spans="1:22" ht="15.75" thickBot="1" x14ac:dyDescent="0.3">
      <c r="A17" s="651">
        <v>44516</v>
      </c>
      <c r="B17" s="657" t="str">
        <f t="shared" si="0"/>
        <v>Út</v>
      </c>
      <c r="C17" s="748">
        <f t="shared" si="1"/>
        <v>0.41666666666666663</v>
      </c>
      <c r="D17" s="837">
        <f t="shared" si="2"/>
        <v>49.999999999999993</v>
      </c>
      <c r="E17" s="724">
        <v>0.29166666666666669</v>
      </c>
      <c r="F17" s="726">
        <f t="shared" ref="F17:F18" si="4">TIME(1,0,0)</f>
        <v>4.1666666666666664E-2</v>
      </c>
      <c r="G17" s="727">
        <v>0.75</v>
      </c>
      <c r="H17" s="654" t="s">
        <v>452</v>
      </c>
      <c r="I17" s="657" t="s">
        <v>450</v>
      </c>
      <c r="J17" s="654" t="s">
        <v>451</v>
      </c>
      <c r="K17" s="657"/>
      <c r="L17" s="654"/>
      <c r="M17" s="657"/>
      <c r="N17" s="714">
        <v>5</v>
      </c>
      <c r="O17" s="711" t="s">
        <v>31</v>
      </c>
      <c r="P17" s="646" t="s">
        <v>31</v>
      </c>
      <c r="Q17" s="1002">
        <f>R16-Q5</f>
        <v>19931</v>
      </c>
      <c r="R17" s="1001"/>
      <c r="S17" s="1009"/>
      <c r="T17" s="1002">
        <f>U16-Q5</f>
        <v>19931</v>
      </c>
      <c r="U17" s="1001"/>
      <c r="V17" s="642">
        <f t="shared" si="3"/>
        <v>2</v>
      </c>
    </row>
    <row r="18" spans="1:22" ht="15.75" thickBot="1" x14ac:dyDescent="0.3">
      <c r="A18" s="651">
        <v>44517</v>
      </c>
      <c r="B18" s="657" t="str">
        <f t="shared" si="0"/>
        <v>St</v>
      </c>
      <c r="C18" s="748">
        <f t="shared" si="1"/>
        <v>0.41666666666666663</v>
      </c>
      <c r="D18" s="837">
        <f t="shared" si="2"/>
        <v>60</v>
      </c>
      <c r="E18" s="724">
        <v>0.29166666666666669</v>
      </c>
      <c r="F18" s="726">
        <f t="shared" si="4"/>
        <v>4.1666666666666664E-2</v>
      </c>
      <c r="G18" s="727">
        <v>0.75</v>
      </c>
      <c r="H18" s="654" t="s">
        <v>452</v>
      </c>
      <c r="I18" s="657" t="s">
        <v>450</v>
      </c>
      <c r="J18" s="654" t="s">
        <v>451</v>
      </c>
      <c r="K18" s="657"/>
      <c r="L18" s="654"/>
      <c r="M18" s="657"/>
      <c r="N18" s="714">
        <v>6</v>
      </c>
      <c r="O18" s="738">
        <v>1224</v>
      </c>
      <c r="P18" s="747">
        <v>1224</v>
      </c>
      <c r="Q18" s="1001"/>
      <c r="R18" s="1001"/>
      <c r="S18" s="1008"/>
      <c r="T18" s="1001"/>
      <c r="U18" s="1001"/>
      <c r="V18" s="642">
        <f t="shared" si="3"/>
        <v>3</v>
      </c>
    </row>
    <row r="19" spans="1:22" ht="15.75" thickBot="1" x14ac:dyDescent="0.3">
      <c r="A19" s="651">
        <v>44518</v>
      </c>
      <c r="B19" s="657" t="str">
        <f t="shared" si="0"/>
        <v>Čt</v>
      </c>
      <c r="C19" s="748">
        <f t="shared" si="1"/>
        <v>0.4375</v>
      </c>
      <c r="D19" s="837">
        <f t="shared" si="2"/>
        <v>63</v>
      </c>
      <c r="E19" s="724">
        <v>0.29166666666666669</v>
      </c>
      <c r="F19" s="726">
        <f>TIME(0,30,0)</f>
        <v>2.0833333333333332E-2</v>
      </c>
      <c r="G19" s="727">
        <v>0.75</v>
      </c>
      <c r="H19" s="654" t="s">
        <v>452</v>
      </c>
      <c r="I19" s="657" t="s">
        <v>450</v>
      </c>
      <c r="J19" s="654" t="s">
        <v>451</v>
      </c>
      <c r="K19" s="657"/>
      <c r="L19" s="654"/>
      <c r="M19" s="657"/>
      <c r="N19" s="714">
        <v>6</v>
      </c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3"/>
        <v>4</v>
      </c>
    </row>
    <row r="20" spans="1:22" ht="15.75" thickBot="1" x14ac:dyDescent="0.3">
      <c r="A20" s="651">
        <v>44519</v>
      </c>
      <c r="B20" s="657" t="str">
        <f t="shared" si="0"/>
        <v>Pá</v>
      </c>
      <c r="C20" s="748">
        <f t="shared" si="1"/>
        <v>0</v>
      </c>
      <c r="D20" s="837">
        <f t="shared" si="2"/>
        <v>0</v>
      </c>
      <c r="E20" s="724"/>
      <c r="F20" s="726"/>
      <c r="G20" s="727"/>
      <c r="H20" s="654" t="s">
        <v>452</v>
      </c>
      <c r="I20" s="657" t="s">
        <v>450</v>
      </c>
      <c r="J20" s="654" t="s">
        <v>451</v>
      </c>
      <c r="K20" s="657"/>
      <c r="L20" s="654"/>
      <c r="M20" s="657"/>
      <c r="N20" s="714">
        <v>4</v>
      </c>
      <c r="O20" s="738">
        <v>0</v>
      </c>
      <c r="P20" s="747">
        <v>0</v>
      </c>
      <c r="Q20" s="1001"/>
      <c r="R20" s="1001"/>
      <c r="S20" s="1008"/>
      <c r="T20" s="1001"/>
      <c r="U20" s="1001"/>
      <c r="V20" s="642">
        <f t="shared" si="3"/>
        <v>5</v>
      </c>
    </row>
    <row r="21" spans="1:22" ht="15.75" thickBot="1" x14ac:dyDescent="0.3">
      <c r="A21" s="651">
        <v>44520</v>
      </c>
      <c r="B21" s="657" t="str">
        <f t="shared" si="0"/>
        <v>So</v>
      </c>
      <c r="C21" s="748">
        <f t="shared" si="1"/>
        <v>0</v>
      </c>
      <c r="D21" s="837">
        <f t="shared" si="2"/>
        <v>0</v>
      </c>
      <c r="E21" s="724"/>
      <c r="F21" s="726"/>
      <c r="G21" s="727"/>
      <c r="H21" s="654" t="s">
        <v>452</v>
      </c>
      <c r="I21" s="657" t="s">
        <v>450</v>
      </c>
      <c r="J21" s="654" t="s">
        <v>451</v>
      </c>
      <c r="K21" s="657"/>
      <c r="L21" s="654"/>
      <c r="M21" s="657"/>
      <c r="N21" s="714">
        <v>4</v>
      </c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3"/>
        <v>6</v>
      </c>
    </row>
    <row r="22" spans="1:22" ht="15.75" thickBot="1" x14ac:dyDescent="0.3">
      <c r="A22" s="651">
        <v>44521</v>
      </c>
      <c r="B22" s="657" t="str">
        <f t="shared" si="0"/>
        <v>Ne</v>
      </c>
      <c r="C22" s="748">
        <f t="shared" si="1"/>
        <v>0</v>
      </c>
      <c r="D22" s="837">
        <f t="shared" si="2"/>
        <v>0</v>
      </c>
      <c r="E22" s="724"/>
      <c r="F22" s="726"/>
      <c r="G22" s="727"/>
      <c r="H22" s="654" t="s">
        <v>452</v>
      </c>
      <c r="I22" s="657" t="s">
        <v>450</v>
      </c>
      <c r="J22" s="654" t="s">
        <v>451</v>
      </c>
      <c r="K22" s="657"/>
      <c r="L22" s="654"/>
      <c r="M22" s="657"/>
      <c r="N22" s="714">
        <v>0</v>
      </c>
      <c r="O22" s="738">
        <v>0</v>
      </c>
      <c r="P22" s="747">
        <v>0</v>
      </c>
      <c r="Q22" s="1001"/>
      <c r="R22" s="1017"/>
      <c r="S22" s="718"/>
      <c r="T22" s="1001"/>
      <c r="U22" s="1001"/>
      <c r="V22" s="642">
        <f t="shared" si="3"/>
        <v>7</v>
      </c>
    </row>
    <row r="23" spans="1:22" ht="15.75" thickBot="1" x14ac:dyDescent="0.3">
      <c r="A23" s="651">
        <v>44522</v>
      </c>
      <c r="B23" s="657" t="str">
        <f t="shared" si="0"/>
        <v>Po</v>
      </c>
      <c r="C23" s="748">
        <f t="shared" si="1"/>
        <v>0.41666666666666663</v>
      </c>
      <c r="D23" s="837">
        <f t="shared" si="2"/>
        <v>80</v>
      </c>
      <c r="E23" s="724">
        <v>0.29166666666666669</v>
      </c>
      <c r="F23" s="726">
        <f t="shared" ref="F23" si="5">TIME(1,0,0)</f>
        <v>4.1666666666666664E-2</v>
      </c>
      <c r="G23" s="727">
        <v>0.75</v>
      </c>
      <c r="H23" s="654" t="s">
        <v>452</v>
      </c>
      <c r="I23" s="657" t="s">
        <v>450</v>
      </c>
      <c r="J23" s="654" t="s">
        <v>451</v>
      </c>
      <c r="K23" s="657"/>
      <c r="L23" s="654"/>
      <c r="M23" s="657"/>
      <c r="N23" s="714">
        <v>8</v>
      </c>
      <c r="O23" s="897" t="s">
        <v>364</v>
      </c>
      <c r="P23" s="895" t="s">
        <v>363</v>
      </c>
      <c r="Q23" s="1015">
        <f>Q17-P24</f>
        <v>4884</v>
      </c>
      <c r="R23" s="1018"/>
      <c r="S23" s="1015">
        <f>T17-P24</f>
        <v>4884</v>
      </c>
      <c r="T23" s="1001"/>
      <c r="U23" s="1001"/>
      <c r="V23" s="642">
        <f t="shared" si="3"/>
        <v>1</v>
      </c>
    </row>
    <row r="24" spans="1:22" ht="15.75" thickBot="1" x14ac:dyDescent="0.3">
      <c r="A24" s="651">
        <v>44523</v>
      </c>
      <c r="B24" s="657" t="str">
        <f t="shared" si="0"/>
        <v>Út</v>
      </c>
      <c r="C24" s="748">
        <f t="shared" si="1"/>
        <v>0.4375</v>
      </c>
      <c r="D24" s="837">
        <f t="shared" si="2"/>
        <v>84</v>
      </c>
      <c r="E24" s="724">
        <v>0.29166666666666669</v>
      </c>
      <c r="F24" s="726">
        <f t="shared" ref="F24:F25" si="6">TIME(0,30,0)</f>
        <v>2.0833333333333332E-2</v>
      </c>
      <c r="G24" s="727">
        <v>0.75</v>
      </c>
      <c r="H24" s="654" t="s">
        <v>452</v>
      </c>
      <c r="I24" s="657" t="s">
        <v>450</v>
      </c>
      <c r="J24" s="654" t="s">
        <v>451</v>
      </c>
      <c r="K24" s="657"/>
      <c r="L24" s="654"/>
      <c r="M24" s="657"/>
      <c r="N24" s="714">
        <v>8</v>
      </c>
      <c r="O24" s="898">
        <f>P12-Q5</f>
        <v>4884</v>
      </c>
      <c r="P24" s="747">
        <f>O26-O28</f>
        <v>15047</v>
      </c>
      <c r="Q24" s="1020"/>
      <c r="R24" s="1019"/>
      <c r="S24" s="1006"/>
      <c r="T24" s="1006"/>
      <c r="U24" s="1006"/>
      <c r="V24" s="642">
        <f t="shared" si="3"/>
        <v>2</v>
      </c>
    </row>
    <row r="25" spans="1:22" ht="15.75" thickBot="1" x14ac:dyDescent="0.3">
      <c r="A25" s="651">
        <v>44524</v>
      </c>
      <c r="B25" s="657" t="str">
        <f t="shared" si="0"/>
        <v>St</v>
      </c>
      <c r="C25" s="748">
        <f t="shared" si="1"/>
        <v>0.4375</v>
      </c>
      <c r="D25" s="837">
        <f t="shared" si="2"/>
        <v>84</v>
      </c>
      <c r="E25" s="724">
        <v>0.29166666666666669</v>
      </c>
      <c r="F25" s="726">
        <f t="shared" si="6"/>
        <v>2.0833333333333332E-2</v>
      </c>
      <c r="G25" s="727">
        <v>0.75</v>
      </c>
      <c r="H25" s="654" t="s">
        <v>452</v>
      </c>
      <c r="I25" s="657" t="s">
        <v>450</v>
      </c>
      <c r="J25" s="654" t="s">
        <v>451</v>
      </c>
      <c r="K25" s="657"/>
      <c r="L25" s="654"/>
      <c r="M25" s="657"/>
      <c r="N25" s="714">
        <v>8</v>
      </c>
      <c r="O25" s="711" t="s">
        <v>372</v>
      </c>
      <c r="P25" s="646"/>
      <c r="Q25" s="1001"/>
      <c r="R25" s="1001"/>
      <c r="S25" s="1001"/>
      <c r="T25" s="1001"/>
      <c r="U25" s="1001"/>
      <c r="V25" s="642">
        <f t="shared" si="3"/>
        <v>3</v>
      </c>
    </row>
    <row r="26" spans="1:22" ht="15.75" thickBot="1" x14ac:dyDescent="0.3">
      <c r="A26" s="651">
        <v>44525</v>
      </c>
      <c r="B26" s="657" t="str">
        <f t="shared" si="0"/>
        <v>Čt</v>
      </c>
      <c r="C26" s="748">
        <f t="shared" si="1"/>
        <v>0.41666666666666663</v>
      </c>
      <c r="D26" s="837">
        <f t="shared" si="2"/>
        <v>80</v>
      </c>
      <c r="E26" s="724">
        <v>0.29166666666666669</v>
      </c>
      <c r="F26" s="726">
        <f t="shared" ref="F26:F27" si="7">TIME(1,0,0)</f>
        <v>4.1666666666666664E-2</v>
      </c>
      <c r="G26" s="727">
        <v>0.75</v>
      </c>
      <c r="H26" s="654" t="s">
        <v>452</v>
      </c>
      <c r="I26" s="657" t="s">
        <v>450</v>
      </c>
      <c r="J26" s="654" t="s">
        <v>451</v>
      </c>
      <c r="K26" s="657"/>
      <c r="L26" s="654"/>
      <c r="M26" s="657"/>
      <c r="N26" s="714">
        <v>8</v>
      </c>
      <c r="O26" s="738">
        <v>115461</v>
      </c>
      <c r="P26" s="747"/>
      <c r="Q26" s="1001"/>
      <c r="R26" s="1001"/>
      <c r="S26" s="1001"/>
      <c r="T26" s="1001"/>
      <c r="U26" s="1001"/>
      <c r="V26" s="642">
        <f t="shared" si="3"/>
        <v>4</v>
      </c>
    </row>
    <row r="27" spans="1:22" ht="15.75" thickBot="1" x14ac:dyDescent="0.3">
      <c r="A27" s="651">
        <v>44526</v>
      </c>
      <c r="B27" s="657" t="str">
        <f t="shared" si="0"/>
        <v>Pá</v>
      </c>
      <c r="C27" s="748">
        <f t="shared" si="1"/>
        <v>0.41666666666666663</v>
      </c>
      <c r="D27" s="837">
        <f t="shared" si="2"/>
        <v>80</v>
      </c>
      <c r="E27" s="724">
        <v>0.29166666666666669</v>
      </c>
      <c r="F27" s="726">
        <f t="shared" si="7"/>
        <v>4.1666666666666664E-2</v>
      </c>
      <c r="G27" s="727">
        <v>0.75</v>
      </c>
      <c r="H27" s="654" t="s">
        <v>452</v>
      </c>
      <c r="I27" s="657" t="s">
        <v>450</v>
      </c>
      <c r="J27" s="654" t="s">
        <v>451</v>
      </c>
      <c r="K27" s="657"/>
      <c r="L27" s="654"/>
      <c r="M27" s="657"/>
      <c r="N27" s="714">
        <v>8</v>
      </c>
      <c r="O27" s="711" t="s">
        <v>373</v>
      </c>
      <c r="P27" s="646"/>
      <c r="Q27" s="1001"/>
      <c r="R27" s="1001"/>
      <c r="S27" s="1001"/>
      <c r="T27" s="1001"/>
      <c r="U27" s="1001"/>
      <c r="V27" s="642">
        <f t="shared" si="3"/>
        <v>5</v>
      </c>
    </row>
    <row r="28" spans="1:22" ht="15.75" thickBot="1" x14ac:dyDescent="0.3">
      <c r="A28" s="651">
        <v>44527</v>
      </c>
      <c r="B28" s="657" t="str">
        <f t="shared" si="0"/>
        <v>So</v>
      </c>
      <c r="C28" s="748">
        <f t="shared" si="1"/>
        <v>0.35416666666666663</v>
      </c>
      <c r="D28" s="837">
        <f t="shared" si="2"/>
        <v>59.5</v>
      </c>
      <c r="E28" s="724">
        <v>0.29166666666666669</v>
      </c>
      <c r="F28" s="726">
        <f>TIME(0,30,0)</f>
        <v>2.0833333333333332E-2</v>
      </c>
      <c r="G28" s="727">
        <v>0.66666666666666663</v>
      </c>
      <c r="H28" s="654" t="s">
        <v>452</v>
      </c>
      <c r="I28" s="657" t="s">
        <v>450</v>
      </c>
      <c r="J28" s="654" t="s">
        <v>451</v>
      </c>
      <c r="K28" s="657"/>
      <c r="L28" s="654"/>
      <c r="M28" s="657"/>
      <c r="N28" s="714">
        <v>7</v>
      </c>
      <c r="O28" s="738">
        <f>'10hod21'!O26</f>
        <v>100414</v>
      </c>
      <c r="P28" s="646"/>
      <c r="Q28" s="1001"/>
      <c r="R28" s="1001"/>
      <c r="S28" s="1001"/>
      <c r="T28" s="1001"/>
      <c r="U28" s="1001"/>
      <c r="V28" s="642">
        <f t="shared" si="3"/>
        <v>6</v>
      </c>
    </row>
    <row r="29" spans="1:22" ht="15.75" thickBot="1" x14ac:dyDescent="0.3">
      <c r="A29" s="651">
        <v>44528</v>
      </c>
      <c r="B29" s="657" t="str">
        <f t="shared" si="0"/>
        <v>Ne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 t="s">
        <v>452</v>
      </c>
      <c r="I29" s="657" t="s">
        <v>450</v>
      </c>
      <c r="J29" s="654" t="s">
        <v>451</v>
      </c>
      <c r="K29" s="657"/>
      <c r="L29" s="654"/>
      <c r="M29" s="657"/>
      <c r="N29" s="714">
        <v>0</v>
      </c>
      <c r="O29" s="712"/>
      <c r="P29" s="648"/>
      <c r="Q29" s="718"/>
      <c r="R29" s="718"/>
      <c r="S29" s="718"/>
      <c r="T29" s="718"/>
      <c r="U29" s="718"/>
      <c r="V29" s="642">
        <f t="shared" si="3"/>
        <v>7</v>
      </c>
    </row>
    <row r="30" spans="1:22" ht="15.75" thickBot="1" x14ac:dyDescent="0.3">
      <c r="A30" s="651">
        <v>44529</v>
      </c>
      <c r="B30" s="657" t="str">
        <f t="shared" si="0"/>
        <v>Po</v>
      </c>
      <c r="C30" s="748">
        <f t="shared" si="1"/>
        <v>0.4375</v>
      </c>
      <c r="D30" s="837">
        <f t="shared" si="2"/>
        <v>84</v>
      </c>
      <c r="E30" s="724">
        <v>0.29166666666666669</v>
      </c>
      <c r="F30" s="726">
        <f t="shared" ref="F30:F31" si="8">TIME(0,30,0)</f>
        <v>2.0833333333333332E-2</v>
      </c>
      <c r="G30" s="727">
        <v>0.75</v>
      </c>
      <c r="H30" s="654" t="s">
        <v>452</v>
      </c>
      <c r="I30" s="657" t="s">
        <v>450</v>
      </c>
      <c r="J30" s="654" t="s">
        <v>451</v>
      </c>
      <c r="K30" s="657"/>
      <c r="L30" s="654"/>
      <c r="M30" s="657"/>
      <c r="N30" s="708">
        <v>8</v>
      </c>
      <c r="O30" s="715"/>
      <c r="P30" s="720"/>
      <c r="Q30" s="718"/>
      <c r="R30" s="718"/>
      <c r="S30" s="718"/>
      <c r="T30" s="718"/>
      <c r="U30" s="718"/>
      <c r="V30" s="642">
        <f t="shared" si="3"/>
        <v>1</v>
      </c>
    </row>
    <row r="31" spans="1:22" ht="15.75" thickBot="1" x14ac:dyDescent="0.3">
      <c r="A31" s="651">
        <v>44530</v>
      </c>
      <c r="B31" s="657" t="str">
        <f t="shared" si="0"/>
        <v>Út</v>
      </c>
      <c r="C31" s="748">
        <f t="shared" si="1"/>
        <v>0.4375</v>
      </c>
      <c r="D31" s="837">
        <f t="shared" si="2"/>
        <v>84</v>
      </c>
      <c r="E31" s="724">
        <v>0.29166666666666669</v>
      </c>
      <c r="F31" s="726">
        <f t="shared" si="8"/>
        <v>2.0833333333333332E-2</v>
      </c>
      <c r="G31" s="727">
        <v>0.75</v>
      </c>
      <c r="H31" s="654" t="s">
        <v>452</v>
      </c>
      <c r="I31" s="657" t="s">
        <v>450</v>
      </c>
      <c r="J31" s="654" t="s">
        <v>451</v>
      </c>
      <c r="K31" s="657"/>
      <c r="L31" s="654"/>
      <c r="M31" s="657"/>
      <c r="N31" s="708">
        <v>8</v>
      </c>
      <c r="O31" s="649"/>
      <c r="P31" s="646"/>
      <c r="Q31" s="718"/>
      <c r="R31" s="718"/>
      <c r="S31" s="718"/>
      <c r="T31" s="718"/>
      <c r="U31" s="718"/>
      <c r="V31" s="642">
        <f t="shared" si="3"/>
        <v>2</v>
      </c>
    </row>
    <row r="32" spans="1:22" ht="15.75" thickBot="1" x14ac:dyDescent="0.3">
      <c r="A32" s="651">
        <v>44531</v>
      </c>
      <c r="B32" s="657" t="str">
        <f t="shared" si="0"/>
        <v>St</v>
      </c>
      <c r="C32" s="748">
        <f t="shared" si="1"/>
        <v>0.4375</v>
      </c>
      <c r="D32" s="837">
        <f t="shared" si="2"/>
        <v>84</v>
      </c>
      <c r="E32" s="724">
        <v>0.29166666666666669</v>
      </c>
      <c r="F32" s="726">
        <f>TIME(0,30,0)</f>
        <v>2.0833333333333332E-2</v>
      </c>
      <c r="G32" s="727">
        <v>0.75</v>
      </c>
      <c r="H32" s="654" t="s">
        <v>452</v>
      </c>
      <c r="I32" s="657" t="s">
        <v>450</v>
      </c>
      <c r="J32" s="654" t="s">
        <v>451</v>
      </c>
      <c r="K32" s="657"/>
      <c r="L32" s="654"/>
      <c r="M32" s="657"/>
      <c r="N32" s="708">
        <v>8</v>
      </c>
      <c r="O32" s="649"/>
      <c r="P32" s="646"/>
      <c r="Q32" s="718"/>
      <c r="R32" s="718"/>
      <c r="S32" s="718"/>
      <c r="T32" s="718"/>
      <c r="U32" s="718"/>
      <c r="V32" s="642">
        <f t="shared" si="3"/>
        <v>3</v>
      </c>
    </row>
    <row r="33" spans="1:22" ht="15.75" thickBot="1" x14ac:dyDescent="0.3">
      <c r="A33" s="651">
        <v>44532</v>
      </c>
      <c r="B33" s="657" t="str">
        <f t="shared" si="0"/>
        <v>Čt</v>
      </c>
      <c r="C33" s="748">
        <f t="shared" si="1"/>
        <v>0.41666666666666663</v>
      </c>
      <c r="D33" s="837">
        <f t="shared" si="2"/>
        <v>80</v>
      </c>
      <c r="E33" s="724">
        <v>0.29166666666666669</v>
      </c>
      <c r="F33" s="726">
        <f t="shared" ref="F33:F34" si="9">TIME(1,0,0)</f>
        <v>4.1666666666666664E-2</v>
      </c>
      <c r="G33" s="727">
        <v>0.75</v>
      </c>
      <c r="H33" s="654" t="s">
        <v>452</v>
      </c>
      <c r="I33" s="657" t="s">
        <v>450</v>
      </c>
      <c r="J33" s="654" t="s">
        <v>451</v>
      </c>
      <c r="K33" s="657"/>
      <c r="L33" s="654"/>
      <c r="M33" s="657"/>
      <c r="N33" s="708">
        <v>8</v>
      </c>
      <c r="O33" s="649"/>
      <c r="P33" s="646"/>
      <c r="Q33" s="718"/>
      <c r="R33" s="718"/>
      <c r="S33" s="718"/>
      <c r="T33" s="718"/>
      <c r="U33" s="718"/>
      <c r="V33" s="642">
        <f>WEEKDAY(A33,2)</f>
        <v>4</v>
      </c>
    </row>
    <row r="34" spans="1:22" ht="15.75" thickBot="1" x14ac:dyDescent="0.3">
      <c r="A34" s="651">
        <v>44533</v>
      </c>
      <c r="B34" s="657" t="str">
        <f t="shared" si="0"/>
        <v>Pá</v>
      </c>
      <c r="C34" s="748">
        <f t="shared" si="1"/>
        <v>0.41666666666666663</v>
      </c>
      <c r="D34" s="837">
        <f t="shared" si="2"/>
        <v>80</v>
      </c>
      <c r="E34" s="724">
        <v>0.29166666666666669</v>
      </c>
      <c r="F34" s="726">
        <f t="shared" si="9"/>
        <v>4.1666666666666664E-2</v>
      </c>
      <c r="G34" s="727">
        <v>0.75</v>
      </c>
      <c r="H34" s="654" t="s">
        <v>452</v>
      </c>
      <c r="I34" s="657" t="s">
        <v>450</v>
      </c>
      <c r="J34" s="654" t="s">
        <v>451</v>
      </c>
      <c r="K34" s="657"/>
      <c r="L34" s="654"/>
      <c r="M34" s="657"/>
      <c r="N34" s="708">
        <v>8</v>
      </c>
      <c r="O34" s="649"/>
      <c r="P34" s="646"/>
      <c r="Q34" s="718"/>
      <c r="R34" s="718"/>
      <c r="S34" s="718"/>
      <c r="T34" s="718"/>
      <c r="U34" s="718"/>
      <c r="V34" s="642">
        <f t="shared" ref="V34:V35" si="10">WEEKDAY(A34,2)</f>
        <v>5</v>
      </c>
    </row>
    <row r="35" spans="1:22" ht="15.75" thickBot="1" x14ac:dyDescent="0.3">
      <c r="A35" s="651">
        <v>44534</v>
      </c>
      <c r="B35" s="658" t="str">
        <f t="shared" si="0"/>
        <v>So</v>
      </c>
      <c r="C35" s="748">
        <f t="shared" si="1"/>
        <v>0.35416666666666663</v>
      </c>
      <c r="D35" s="838">
        <f t="shared" si="2"/>
        <v>59.5</v>
      </c>
      <c r="E35" s="724">
        <v>0.29166666666666669</v>
      </c>
      <c r="F35" s="726">
        <f>TIME(0,30,0)</f>
        <v>2.0833333333333332E-2</v>
      </c>
      <c r="G35" s="727">
        <v>0.66666666666666663</v>
      </c>
      <c r="H35" s="654" t="s">
        <v>452</v>
      </c>
      <c r="I35" s="657" t="s">
        <v>450</v>
      </c>
      <c r="J35" s="654" t="s">
        <v>451</v>
      </c>
      <c r="K35" s="658"/>
      <c r="L35" s="655"/>
      <c r="M35" s="658"/>
      <c r="N35" s="709">
        <v>7</v>
      </c>
      <c r="O35" s="652"/>
      <c r="P35" s="648"/>
      <c r="Q35" s="718"/>
      <c r="R35" s="718"/>
      <c r="S35" s="718"/>
      <c r="T35" s="718"/>
      <c r="U35" s="718"/>
      <c r="V35" s="642">
        <f t="shared" si="10"/>
        <v>6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SUM(C2:C31)</f>
        <v>8.3125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hyperlinks>
    <hyperlink ref="H5" location="Marquardt Lightronics Gmbh_x000a_https://maps.app.goo.gl/zjxW3Q71YuHRhDB36" display="Amt Wachsenburg" xr:uid="{3CC6DE8E-3C97-A248-B9CF-9D8C3D427EE9}"/>
  </hyperlinks>
  <pageMargins left="0.7" right="0.7" top="0.75" bottom="0.75" header="0.3" footer="0.3"/>
  <drawing r:id="rId1"/>
  <tableParts count="1">
    <tablePart r:id="rId2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68E37-5019-1A46-87D9-7171CFBC1B9F}">
  <dimension ref="A1:V45"/>
  <sheetViews>
    <sheetView topLeftCell="Q1" zoomScaleNormal="60" zoomScaleSheetLayoutView="100" workbookViewId="0">
      <selection activeCell="Q9" sqref="Q9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425781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44531</v>
      </c>
      <c r="B2" s="656" t="str">
        <f t="shared" ref="B2:B35" si="0">CHOOSE(WEEKDAY(V2),"Po","Út","St","Čt","Pá","So","Ne")</f>
        <v>St</v>
      </c>
      <c r="C2" s="748">
        <f t="shared" ref="C2:C35" si="1">G2-E2-F2</f>
        <v>0.4375</v>
      </c>
      <c r="D2" s="836">
        <f t="shared" ref="D2:D35" si="2">(N2*C2)*24</f>
        <v>84</v>
      </c>
      <c r="E2" s="723">
        <v>0.29166666666666669</v>
      </c>
      <c r="F2" s="726">
        <f>TIME(0,30,0)</f>
        <v>2.0833333333333332E-2</v>
      </c>
      <c r="G2" s="726">
        <v>0.75</v>
      </c>
      <c r="H2" s="876" t="s">
        <v>452</v>
      </c>
      <c r="I2" s="656" t="s">
        <v>450</v>
      </c>
      <c r="J2" s="653"/>
      <c r="K2" s="656"/>
      <c r="L2" s="653"/>
      <c r="M2" s="656">
        <v>31</v>
      </c>
      <c r="N2" s="713">
        <v>8</v>
      </c>
      <c r="O2" s="834">
        <f>(O4+O6)</f>
        <v>166.49999999999997</v>
      </c>
      <c r="P2" s="716">
        <f t="shared" ref="P2" si="3">P4+P6</f>
        <v>166.5</v>
      </c>
      <c r="Q2" s="853">
        <f>'11hod21'!Q5</f>
        <v>46891</v>
      </c>
      <c r="R2" s="644" t="s">
        <v>17</v>
      </c>
      <c r="S2" s="644" t="s">
        <v>431</v>
      </c>
      <c r="T2" s="875">
        <v>44546</v>
      </c>
      <c r="U2" s="722">
        <f>T7*20</f>
        <v>0</v>
      </c>
      <c r="V2" s="642">
        <f t="shared" ref="V2:V32" si="4">WEEKDAY(A2,2)</f>
        <v>3</v>
      </c>
    </row>
    <row r="3" spans="1:22" ht="15.75" thickBot="1" x14ac:dyDescent="0.3">
      <c r="A3" s="651">
        <v>44532</v>
      </c>
      <c r="B3" s="657" t="str">
        <f t="shared" si="0"/>
        <v>Čt</v>
      </c>
      <c r="C3" s="748">
        <f t="shared" si="1"/>
        <v>0.41666666666666663</v>
      </c>
      <c r="D3" s="837">
        <f t="shared" si="2"/>
        <v>80</v>
      </c>
      <c r="E3" s="723">
        <v>0.29166666666666669</v>
      </c>
      <c r="F3" s="726">
        <f>TIME(1,0,0)</f>
        <v>4.1666666666666664E-2</v>
      </c>
      <c r="G3" s="726">
        <v>0.75</v>
      </c>
      <c r="H3" s="654" t="s">
        <v>452</v>
      </c>
      <c r="I3" s="657" t="s">
        <v>450</v>
      </c>
      <c r="J3" s="654"/>
      <c r="K3" s="657"/>
      <c r="L3" s="654"/>
      <c r="M3" s="657">
        <v>31</v>
      </c>
      <c r="N3" s="714">
        <v>8</v>
      </c>
      <c r="O3" s="711" t="s">
        <v>19</v>
      </c>
      <c r="P3" s="717" t="s">
        <v>19</v>
      </c>
      <c r="Q3" s="738">
        <v>115461</v>
      </c>
      <c r="R3" s="611" t="s">
        <v>48</v>
      </c>
      <c r="S3" s="611" t="s">
        <v>48</v>
      </c>
      <c r="T3" s="874">
        <v>44551</v>
      </c>
      <c r="U3" s="718"/>
      <c r="V3" s="642">
        <f t="shared" si="4"/>
        <v>4</v>
      </c>
    </row>
    <row r="4" spans="1:22" ht="15.75" thickBot="1" x14ac:dyDescent="0.3">
      <c r="A4" s="651">
        <v>44533</v>
      </c>
      <c r="B4" s="657" t="str">
        <f t="shared" si="0"/>
        <v>Pá</v>
      </c>
      <c r="C4" s="748">
        <f t="shared" si="1"/>
        <v>0.41666666666666663</v>
      </c>
      <c r="D4" s="837">
        <f t="shared" si="2"/>
        <v>80</v>
      </c>
      <c r="E4" s="723">
        <v>0.29166666666666669</v>
      </c>
      <c r="F4" s="726">
        <f>TIME(1,0,0)</f>
        <v>4.1666666666666664E-2</v>
      </c>
      <c r="G4" s="726">
        <v>0.75</v>
      </c>
      <c r="H4" s="654" t="s">
        <v>452</v>
      </c>
      <c r="I4" s="657" t="s">
        <v>450</v>
      </c>
      <c r="J4" s="654"/>
      <c r="K4" s="657"/>
      <c r="L4" s="654"/>
      <c r="M4" s="657">
        <v>31</v>
      </c>
      <c r="N4" s="714">
        <v>8</v>
      </c>
      <c r="O4" s="835">
        <f>O40*24</f>
        <v>166.49999999999997</v>
      </c>
      <c r="P4" s="717">
        <v>166.5</v>
      </c>
      <c r="Q4" s="738">
        <v>0</v>
      </c>
      <c r="R4" s="611" t="s">
        <v>17</v>
      </c>
      <c r="S4" s="611" t="s">
        <v>210</v>
      </c>
      <c r="T4" s="646"/>
      <c r="U4" s="718"/>
      <c r="V4" s="642">
        <f t="shared" si="4"/>
        <v>5</v>
      </c>
    </row>
    <row r="5" spans="1:22" ht="15.75" thickBot="1" x14ac:dyDescent="0.3">
      <c r="A5" s="651">
        <v>44534</v>
      </c>
      <c r="B5" s="657" t="str">
        <f t="shared" si="0"/>
        <v>So</v>
      </c>
      <c r="C5" s="748">
        <f t="shared" si="1"/>
        <v>0.35416666666666663</v>
      </c>
      <c r="D5" s="837">
        <f t="shared" si="2"/>
        <v>59.5</v>
      </c>
      <c r="E5" s="723">
        <v>0.29166666666666669</v>
      </c>
      <c r="F5" s="726">
        <f>TIME(0,30,0)</f>
        <v>2.0833333333333332E-2</v>
      </c>
      <c r="G5" s="727">
        <v>0.66666666666666663</v>
      </c>
      <c r="H5" s="654" t="s">
        <v>452</v>
      </c>
      <c r="I5" s="657" t="s">
        <v>450</v>
      </c>
      <c r="J5" s="654"/>
      <c r="K5" s="657"/>
      <c r="L5" s="654"/>
      <c r="M5" s="657">
        <v>31</v>
      </c>
      <c r="N5" s="714">
        <v>7</v>
      </c>
      <c r="O5" s="711" t="s">
        <v>14</v>
      </c>
      <c r="P5" s="717" t="s">
        <v>14</v>
      </c>
      <c r="Q5" s="738">
        <v>30155</v>
      </c>
      <c r="R5" s="611" t="s">
        <v>17</v>
      </c>
      <c r="S5" s="611" t="s">
        <v>312</v>
      </c>
      <c r="T5" s="874">
        <v>44579</v>
      </c>
      <c r="U5" s="718"/>
      <c r="V5" s="642">
        <f t="shared" si="4"/>
        <v>6</v>
      </c>
    </row>
    <row r="6" spans="1:22" ht="15.75" thickBot="1" x14ac:dyDescent="0.3">
      <c r="A6" s="651">
        <v>44535</v>
      </c>
      <c r="B6" s="657" t="str">
        <f t="shared" si="0"/>
        <v>Ne</v>
      </c>
      <c r="C6" s="748">
        <f t="shared" si="1"/>
        <v>0</v>
      </c>
      <c r="D6" s="837">
        <f t="shared" si="2"/>
        <v>0</v>
      </c>
      <c r="E6" s="724"/>
      <c r="F6" s="726"/>
      <c r="G6" s="727"/>
      <c r="H6" s="654" t="s">
        <v>452</v>
      </c>
      <c r="I6" s="657" t="s">
        <v>450</v>
      </c>
      <c r="J6" s="654"/>
      <c r="K6" s="657"/>
      <c r="L6" s="654"/>
      <c r="M6" s="657">
        <v>31</v>
      </c>
      <c r="N6" s="714">
        <v>0</v>
      </c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4"/>
        <v>7</v>
      </c>
    </row>
    <row r="7" spans="1:22" ht="15.75" thickBot="1" x14ac:dyDescent="0.3">
      <c r="A7" s="651">
        <v>44536</v>
      </c>
      <c r="B7" s="657" t="str">
        <f t="shared" si="0"/>
        <v>Po</v>
      </c>
      <c r="C7" s="748">
        <f t="shared" si="1"/>
        <v>0.41666666666666663</v>
      </c>
      <c r="D7" s="837">
        <f t="shared" si="2"/>
        <v>60</v>
      </c>
      <c r="E7" s="723">
        <v>0.29166666666666669</v>
      </c>
      <c r="F7" s="726">
        <f>TIME(1,0,0)</f>
        <v>4.1666666666666664E-2</v>
      </c>
      <c r="G7" s="726">
        <v>0.75</v>
      </c>
      <c r="H7" s="654" t="s">
        <v>452</v>
      </c>
      <c r="I7" s="657" t="s">
        <v>450</v>
      </c>
      <c r="J7" s="654"/>
      <c r="K7" s="657"/>
      <c r="L7" s="654"/>
      <c r="M7" s="657">
        <v>31</v>
      </c>
      <c r="N7" s="714">
        <v>6</v>
      </c>
      <c r="O7" s="711" t="s">
        <v>20</v>
      </c>
      <c r="P7" s="646" t="s">
        <v>20</v>
      </c>
      <c r="Q7" s="721">
        <f>Q3+Q4</f>
        <v>115461</v>
      </c>
      <c r="R7" s="718"/>
      <c r="S7" s="718"/>
      <c r="T7" s="718"/>
      <c r="U7" s="718"/>
      <c r="V7" s="642">
        <f t="shared" si="4"/>
        <v>1</v>
      </c>
    </row>
    <row r="8" spans="1:22" ht="15.75" thickBot="1" x14ac:dyDescent="0.3">
      <c r="A8" s="651">
        <v>44537</v>
      </c>
      <c r="B8" s="657" t="str">
        <f t="shared" si="0"/>
        <v>Út</v>
      </c>
      <c r="C8" s="748">
        <f t="shared" si="1"/>
        <v>0.4375</v>
      </c>
      <c r="D8" s="837">
        <f t="shared" si="2"/>
        <v>63</v>
      </c>
      <c r="E8" s="723">
        <v>0.29166666666666669</v>
      </c>
      <c r="F8" s="726">
        <f>TIME(0,30,0)</f>
        <v>2.0833333333333332E-2</v>
      </c>
      <c r="G8" s="726">
        <v>0.75</v>
      </c>
      <c r="H8" s="654" t="s">
        <v>452</v>
      </c>
      <c r="I8" s="657" t="s">
        <v>450</v>
      </c>
      <c r="J8" s="654"/>
      <c r="K8" s="657"/>
      <c r="L8" s="654"/>
      <c r="M8" s="657">
        <v>31</v>
      </c>
      <c r="N8" s="714">
        <v>6</v>
      </c>
      <c r="O8" s="711" t="s">
        <v>22</v>
      </c>
      <c r="P8" s="646" t="s">
        <v>22</v>
      </c>
      <c r="Q8" s="657" t="s">
        <v>511</v>
      </c>
      <c r="R8" s="718"/>
      <c r="S8" s="718"/>
      <c r="T8" s="718"/>
      <c r="U8" s="718"/>
      <c r="V8" s="642">
        <f t="shared" si="4"/>
        <v>2</v>
      </c>
    </row>
    <row r="9" spans="1:22" ht="15.75" thickBot="1" x14ac:dyDescent="0.3">
      <c r="A9" s="651">
        <v>44538</v>
      </c>
      <c r="B9" s="657" t="str">
        <f t="shared" si="0"/>
        <v>St</v>
      </c>
      <c r="C9" s="748">
        <f t="shared" si="1"/>
        <v>0.41666666666666663</v>
      </c>
      <c r="D9" s="837">
        <f t="shared" si="2"/>
        <v>60</v>
      </c>
      <c r="E9" s="723">
        <v>0.29166666666666669</v>
      </c>
      <c r="F9" s="726">
        <f>TIME(1,0,0)</f>
        <v>4.1666666666666664E-2</v>
      </c>
      <c r="G9" s="726">
        <v>0.75</v>
      </c>
      <c r="H9" s="654" t="s">
        <v>452</v>
      </c>
      <c r="I9" s="657" t="s">
        <v>450</v>
      </c>
      <c r="J9" s="654"/>
      <c r="K9" s="657"/>
      <c r="L9" s="654"/>
      <c r="M9" s="657">
        <v>31</v>
      </c>
      <c r="N9" s="714">
        <v>6</v>
      </c>
      <c r="O9" s="711" t="s">
        <v>23</v>
      </c>
      <c r="P9" s="646" t="s">
        <v>23</v>
      </c>
      <c r="Q9" s="657">
        <f>SUM(Q2:Q4)</f>
        <v>162352</v>
      </c>
      <c r="R9" s="718"/>
      <c r="S9" s="718"/>
      <c r="T9" s="718"/>
      <c r="U9" s="718"/>
      <c r="V9" s="642">
        <f t="shared" si="4"/>
        <v>3</v>
      </c>
    </row>
    <row r="10" spans="1:22" ht="15.75" thickBot="1" x14ac:dyDescent="0.3">
      <c r="A10" s="651">
        <v>44539</v>
      </c>
      <c r="B10" s="657" t="str">
        <f t="shared" si="0"/>
        <v>Čt</v>
      </c>
      <c r="C10" s="748">
        <f t="shared" si="1"/>
        <v>0.4375</v>
      </c>
      <c r="D10" s="837">
        <f t="shared" si="2"/>
        <v>63</v>
      </c>
      <c r="E10" s="723">
        <v>0.29166666666666669</v>
      </c>
      <c r="F10" s="726">
        <f>TIME(0,30,0)</f>
        <v>2.0833333333333332E-2</v>
      </c>
      <c r="G10" s="726">
        <v>0.75</v>
      </c>
      <c r="H10" s="654" t="s">
        <v>452</v>
      </c>
      <c r="I10" s="657" t="s">
        <v>450</v>
      </c>
      <c r="J10" s="654"/>
      <c r="K10" s="657"/>
      <c r="L10" s="654"/>
      <c r="M10" s="657">
        <v>31</v>
      </c>
      <c r="N10" s="714">
        <v>6</v>
      </c>
      <c r="O10" s="738">
        <f>(O2*380)+U2</f>
        <v>63269.999999999993</v>
      </c>
      <c r="P10" s="747">
        <f>SUM(P2*380)</f>
        <v>63270</v>
      </c>
      <c r="Q10" s="719"/>
      <c r="R10" s="718"/>
      <c r="S10" s="718"/>
      <c r="T10" s="718"/>
      <c r="U10" s="718"/>
      <c r="V10" s="642">
        <f t="shared" si="4"/>
        <v>4</v>
      </c>
    </row>
    <row r="11" spans="1:22" ht="15.75" thickBot="1" x14ac:dyDescent="0.3">
      <c r="A11" s="651">
        <v>44540</v>
      </c>
      <c r="B11" s="657" t="str">
        <f t="shared" si="0"/>
        <v>Pá</v>
      </c>
      <c r="C11" s="748">
        <f t="shared" si="1"/>
        <v>0.41666666666666663</v>
      </c>
      <c r="D11" s="837">
        <f t="shared" si="2"/>
        <v>60</v>
      </c>
      <c r="E11" s="723">
        <v>0.29166666666666669</v>
      </c>
      <c r="F11" s="726">
        <f>TIME(1,0,0)</f>
        <v>4.1666666666666664E-2</v>
      </c>
      <c r="G11" s="726">
        <v>0.75</v>
      </c>
      <c r="H11" s="654" t="s">
        <v>452</v>
      </c>
      <c r="I11" s="657" t="s">
        <v>450</v>
      </c>
      <c r="J11" s="654"/>
      <c r="K11" s="657"/>
      <c r="L11" s="654"/>
      <c r="M11" s="657">
        <v>31</v>
      </c>
      <c r="N11" s="714">
        <v>6</v>
      </c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4"/>
        <v>5</v>
      </c>
    </row>
    <row r="12" spans="1:22" ht="15.75" thickBot="1" x14ac:dyDescent="0.3">
      <c r="A12" s="651">
        <v>44541</v>
      </c>
      <c r="B12" s="657" t="str">
        <f t="shared" si="0"/>
        <v>So</v>
      </c>
      <c r="C12" s="748">
        <f>G12-E12</f>
        <v>0.41666666666666669</v>
      </c>
      <c r="D12" s="837">
        <f t="shared" si="2"/>
        <v>60</v>
      </c>
      <c r="E12" s="724">
        <v>0.29166666666666669</v>
      </c>
      <c r="F12" s="726" t="s">
        <v>343</v>
      </c>
      <c r="G12" s="727">
        <v>0.70833333333333337</v>
      </c>
      <c r="H12" s="654" t="s">
        <v>452</v>
      </c>
      <c r="I12" s="657" t="s">
        <v>450</v>
      </c>
      <c r="J12" s="654"/>
      <c r="K12" s="657"/>
      <c r="L12" s="654"/>
      <c r="M12" s="657">
        <v>31</v>
      </c>
      <c r="N12" s="714">
        <v>6</v>
      </c>
      <c r="O12" s="738">
        <f>(O10+O20+O18-O22)-O14-P24</f>
        <v>150421.03999999998</v>
      </c>
      <c r="P12" s="747">
        <f>(P10+P18+P20-P22)-P14-P24</f>
        <v>150421.04</v>
      </c>
      <c r="Q12" s="718"/>
      <c r="R12" s="718"/>
      <c r="S12" s="718"/>
      <c r="T12" s="718"/>
      <c r="U12" s="718"/>
      <c r="V12" s="642">
        <f t="shared" si="4"/>
        <v>6</v>
      </c>
    </row>
    <row r="13" spans="1:22" ht="15.75" thickBot="1" x14ac:dyDescent="0.3">
      <c r="A13" s="651">
        <v>44542</v>
      </c>
      <c r="B13" s="657" t="str">
        <f t="shared" si="0"/>
        <v>Ne</v>
      </c>
      <c r="C13" s="748">
        <f t="shared" si="1"/>
        <v>0</v>
      </c>
      <c r="D13" s="837">
        <f t="shared" si="2"/>
        <v>0</v>
      </c>
      <c r="E13" s="724"/>
      <c r="F13" s="726"/>
      <c r="G13" s="727"/>
      <c r="H13" s="654" t="s">
        <v>452</v>
      </c>
      <c r="I13" s="657" t="s">
        <v>450</v>
      </c>
      <c r="J13" s="654"/>
      <c r="K13" s="657"/>
      <c r="L13" s="654"/>
      <c r="M13" s="657">
        <v>31</v>
      </c>
      <c r="N13" s="714">
        <v>0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7</v>
      </c>
    </row>
    <row r="14" spans="1:22" ht="15.75" thickBot="1" x14ac:dyDescent="0.3">
      <c r="A14" s="651">
        <v>44543</v>
      </c>
      <c r="B14" s="657" t="str">
        <f t="shared" si="0"/>
        <v>Po</v>
      </c>
      <c r="C14" s="748">
        <f t="shared" si="1"/>
        <v>0.41666666666666663</v>
      </c>
      <c r="D14" s="837">
        <f t="shared" si="2"/>
        <v>60</v>
      </c>
      <c r="E14" s="723">
        <v>0.29166666666666669</v>
      </c>
      <c r="F14" s="726">
        <f>TIME(1,0,0)</f>
        <v>4.1666666666666664E-2</v>
      </c>
      <c r="G14" s="726">
        <v>0.75</v>
      </c>
      <c r="H14" s="654" t="s">
        <v>452</v>
      </c>
      <c r="I14" s="657" t="s">
        <v>450</v>
      </c>
      <c r="J14" s="654"/>
      <c r="K14" s="657"/>
      <c r="L14" s="654"/>
      <c r="M14" s="657">
        <v>31</v>
      </c>
      <c r="N14" s="714">
        <v>6</v>
      </c>
      <c r="O14" s="738">
        <f>(O16*24.86)</f>
        <v>14567.96</v>
      </c>
      <c r="P14" s="747">
        <f>(P16*24.86)</f>
        <v>14567.96</v>
      </c>
      <c r="Q14" s="923" t="s">
        <v>458</v>
      </c>
      <c r="R14" s="1004">
        <f>P14+P22-P18</f>
        <v>13163.96</v>
      </c>
      <c r="S14" s="1007"/>
      <c r="T14" s="923" t="s">
        <v>462</v>
      </c>
      <c r="U14" s="1004">
        <f>P14+P22</f>
        <v>14567.96</v>
      </c>
      <c r="V14" s="642">
        <f t="shared" si="4"/>
        <v>1</v>
      </c>
    </row>
    <row r="15" spans="1:22" ht="15.75" thickBot="1" x14ac:dyDescent="0.3">
      <c r="A15" s="651">
        <v>44544</v>
      </c>
      <c r="B15" s="657" t="str">
        <f t="shared" si="0"/>
        <v>Út</v>
      </c>
      <c r="C15" s="748">
        <f t="shared" si="1"/>
        <v>0.4375</v>
      </c>
      <c r="D15" s="837">
        <f t="shared" si="2"/>
        <v>63</v>
      </c>
      <c r="E15" s="723">
        <v>0.29166666666666669</v>
      </c>
      <c r="F15" s="726">
        <f>TIME(0,30,0)</f>
        <v>2.0833333333333332E-2</v>
      </c>
      <c r="G15" s="726">
        <v>0.75</v>
      </c>
      <c r="H15" s="654" t="s">
        <v>452</v>
      </c>
      <c r="I15" s="657" t="s">
        <v>450</v>
      </c>
      <c r="J15" s="654"/>
      <c r="K15" s="657"/>
      <c r="L15" s="654"/>
      <c r="M15" s="657">
        <v>31</v>
      </c>
      <c r="N15" s="714">
        <v>6</v>
      </c>
      <c r="O15" s="711" t="s">
        <v>29</v>
      </c>
      <c r="P15" s="646" t="s">
        <v>29</v>
      </c>
      <c r="Q15" s="1001" t="s">
        <v>459</v>
      </c>
      <c r="R15" s="1002">
        <f>P10</f>
        <v>63270</v>
      </c>
      <c r="S15" s="1008"/>
      <c r="T15" s="1001" t="s">
        <v>463</v>
      </c>
      <c r="U15" s="1002">
        <f>P10+P18+P20</f>
        <v>64674</v>
      </c>
      <c r="V15" s="642">
        <f t="shared" si="4"/>
        <v>2</v>
      </c>
    </row>
    <row r="16" spans="1:22" ht="15.75" thickBot="1" x14ac:dyDescent="0.3">
      <c r="A16" s="651">
        <v>44545</v>
      </c>
      <c r="B16" s="657" t="str">
        <f t="shared" si="0"/>
        <v>St</v>
      </c>
      <c r="C16" s="748">
        <f t="shared" si="1"/>
        <v>0.41666666666666663</v>
      </c>
      <c r="D16" s="837">
        <f t="shared" si="2"/>
        <v>60</v>
      </c>
      <c r="E16" s="723">
        <v>0.29166666666666669</v>
      </c>
      <c r="F16" s="726">
        <f>TIME(1,0,0)</f>
        <v>4.1666666666666664E-2</v>
      </c>
      <c r="G16" s="726">
        <v>0.75</v>
      </c>
      <c r="H16" s="654" t="s">
        <v>452</v>
      </c>
      <c r="I16" s="657" t="s">
        <v>450</v>
      </c>
      <c r="J16" s="654"/>
      <c r="K16" s="657"/>
      <c r="L16" s="654"/>
      <c r="M16" s="657">
        <v>31</v>
      </c>
      <c r="N16" s="714">
        <v>6</v>
      </c>
      <c r="O16" s="893">
        <f>'07cash21'!O37</f>
        <v>586</v>
      </c>
      <c r="P16" s="894">
        <v>586</v>
      </c>
      <c r="Q16" s="1001"/>
      <c r="R16" s="1003">
        <f>R15-R14</f>
        <v>50106.04</v>
      </c>
      <c r="S16" s="1008"/>
      <c r="T16" s="1001"/>
      <c r="U16" s="1002">
        <f>U15-U14</f>
        <v>50106.04</v>
      </c>
      <c r="V16" s="642">
        <f t="shared" si="4"/>
        <v>3</v>
      </c>
    </row>
    <row r="17" spans="1:22" ht="15.75" thickBot="1" x14ac:dyDescent="0.3">
      <c r="A17" s="651">
        <v>44546</v>
      </c>
      <c r="B17" s="657" t="str">
        <f t="shared" si="0"/>
        <v>Čt</v>
      </c>
      <c r="C17" s="748">
        <f t="shared" si="1"/>
        <v>0.45833333333333326</v>
      </c>
      <c r="D17" s="837">
        <f t="shared" si="2"/>
        <v>65.999999999999986</v>
      </c>
      <c r="E17" s="723">
        <v>0.29166666666666669</v>
      </c>
      <c r="F17" s="726">
        <f t="shared" ref="F17:F18" si="5">TIME(1,0,0)</f>
        <v>4.1666666666666664E-2</v>
      </c>
      <c r="G17" s="726">
        <v>0.79166666666666663</v>
      </c>
      <c r="H17" s="654" t="s">
        <v>452</v>
      </c>
      <c r="I17" s="657" t="s">
        <v>450</v>
      </c>
      <c r="J17" s="654"/>
      <c r="K17" s="657"/>
      <c r="L17" s="654"/>
      <c r="M17" s="657">
        <v>31</v>
      </c>
      <c r="N17" s="714">
        <v>6</v>
      </c>
      <c r="O17" s="711" t="s">
        <v>31</v>
      </c>
      <c r="P17" s="646" t="s">
        <v>31</v>
      </c>
      <c r="Q17" s="1002">
        <f>R16-Q5</f>
        <v>19951.04</v>
      </c>
      <c r="R17" s="1001"/>
      <c r="S17" s="1009"/>
      <c r="T17" s="1002">
        <f>U16-Q5</f>
        <v>19951.04</v>
      </c>
      <c r="U17" s="1001"/>
      <c r="V17" s="642">
        <f t="shared" si="4"/>
        <v>4</v>
      </c>
    </row>
    <row r="18" spans="1:22" ht="15.75" thickBot="1" x14ac:dyDescent="0.3">
      <c r="A18" s="651">
        <v>44547</v>
      </c>
      <c r="B18" s="657" t="str">
        <f t="shared" si="0"/>
        <v>Pá</v>
      </c>
      <c r="C18" s="748">
        <f t="shared" si="1"/>
        <v>0.45833333333333326</v>
      </c>
      <c r="D18" s="837">
        <f t="shared" si="2"/>
        <v>65.999999999999986</v>
      </c>
      <c r="E18" s="723">
        <v>0.29166666666666669</v>
      </c>
      <c r="F18" s="726">
        <f t="shared" si="5"/>
        <v>4.1666666666666664E-2</v>
      </c>
      <c r="G18" s="726">
        <v>0.79166666666666663</v>
      </c>
      <c r="H18" s="654" t="s">
        <v>452</v>
      </c>
      <c r="I18" s="657" t="s">
        <v>450</v>
      </c>
      <c r="J18" s="654"/>
      <c r="K18" s="657"/>
      <c r="L18" s="654"/>
      <c r="M18" s="657">
        <v>31</v>
      </c>
      <c r="N18" s="714">
        <v>6</v>
      </c>
      <c r="O18" s="738">
        <v>1404</v>
      </c>
      <c r="P18" s="747">
        <v>1404</v>
      </c>
      <c r="Q18" s="1001"/>
      <c r="R18" s="1001"/>
      <c r="S18" s="1008"/>
      <c r="T18" s="1001"/>
      <c r="U18" s="1001"/>
      <c r="V18" s="642">
        <f t="shared" si="4"/>
        <v>5</v>
      </c>
    </row>
    <row r="19" spans="1:22" ht="15.75" thickBot="1" x14ac:dyDescent="0.3">
      <c r="A19" s="651">
        <v>44548</v>
      </c>
      <c r="B19" s="657" t="str">
        <f t="shared" si="0"/>
        <v>So</v>
      </c>
      <c r="C19" s="748">
        <f t="shared" si="1"/>
        <v>0.20833333333333331</v>
      </c>
      <c r="D19" s="837">
        <f t="shared" si="2"/>
        <v>30</v>
      </c>
      <c r="E19" s="723">
        <v>0.29166666666666669</v>
      </c>
      <c r="F19" s="726"/>
      <c r="G19" s="726">
        <v>0.5</v>
      </c>
      <c r="H19" s="654" t="s">
        <v>452</v>
      </c>
      <c r="I19" s="657" t="s">
        <v>450</v>
      </c>
      <c r="J19" s="654"/>
      <c r="K19" s="657"/>
      <c r="L19" s="654"/>
      <c r="M19" s="657">
        <v>31</v>
      </c>
      <c r="N19" s="714">
        <v>6</v>
      </c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4"/>
        <v>6</v>
      </c>
    </row>
    <row r="20" spans="1:22" ht="15.75" thickBot="1" x14ac:dyDescent="0.3">
      <c r="A20" s="651">
        <v>44549</v>
      </c>
      <c r="B20" s="657" t="str">
        <f t="shared" si="0"/>
        <v>Ne</v>
      </c>
      <c r="C20" s="748">
        <f t="shared" si="1"/>
        <v>0</v>
      </c>
      <c r="D20" s="837">
        <f t="shared" si="2"/>
        <v>0</v>
      </c>
      <c r="E20" s="724"/>
      <c r="F20" s="726"/>
      <c r="G20" s="727"/>
      <c r="H20" s="654"/>
      <c r="I20" s="657"/>
      <c r="J20" s="654"/>
      <c r="K20" s="657"/>
      <c r="L20" s="654"/>
      <c r="M20" s="657">
        <v>31</v>
      </c>
      <c r="N20" s="714">
        <v>0</v>
      </c>
      <c r="O20" s="738">
        <v>0</v>
      </c>
      <c r="P20" s="747">
        <v>0</v>
      </c>
      <c r="Q20" s="1001"/>
      <c r="R20" s="1001"/>
      <c r="S20" s="1008"/>
      <c r="T20" s="1001"/>
      <c r="U20" s="1001"/>
      <c r="V20" s="642">
        <f t="shared" si="4"/>
        <v>7</v>
      </c>
    </row>
    <row r="21" spans="1:22" ht="15.75" thickBot="1" x14ac:dyDescent="0.3">
      <c r="A21" s="651">
        <v>44550</v>
      </c>
      <c r="B21" s="657" t="str">
        <f t="shared" si="0"/>
        <v>Po</v>
      </c>
      <c r="C21" s="748">
        <f t="shared" si="1"/>
        <v>0.37500000000000006</v>
      </c>
      <c r="D21" s="837">
        <f t="shared" si="2"/>
        <v>18.000000000000004</v>
      </c>
      <c r="E21" s="724">
        <v>0.3125</v>
      </c>
      <c r="F21" s="726">
        <f>TIME(0,30,0)</f>
        <v>2.0833333333333332E-2</v>
      </c>
      <c r="G21" s="727">
        <v>0.70833333333333337</v>
      </c>
      <c r="H21" s="654"/>
      <c r="I21" s="657"/>
      <c r="J21" s="654"/>
      <c r="K21" s="657"/>
      <c r="L21" s="654"/>
      <c r="M21" s="657">
        <v>31</v>
      </c>
      <c r="N21" s="714">
        <v>2</v>
      </c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4"/>
        <v>1</v>
      </c>
    </row>
    <row r="22" spans="1:22" ht="15.75" thickBot="1" x14ac:dyDescent="0.3">
      <c r="A22" s="651">
        <v>44551</v>
      </c>
      <c r="B22" s="657" t="str">
        <f t="shared" si="0"/>
        <v>Út</v>
      </c>
      <c r="C22" s="748">
        <f t="shared" si="1"/>
        <v>0</v>
      </c>
      <c r="D22" s="837">
        <f t="shared" si="2"/>
        <v>0</v>
      </c>
      <c r="E22" s="724"/>
      <c r="F22" s="726"/>
      <c r="G22" s="727"/>
      <c r="H22" s="654"/>
      <c r="I22" s="657"/>
      <c r="J22" s="654"/>
      <c r="K22" s="657"/>
      <c r="L22" s="654"/>
      <c r="M22" s="657">
        <v>31</v>
      </c>
      <c r="N22" s="714"/>
      <c r="O22" s="738">
        <v>0</v>
      </c>
      <c r="P22" s="747">
        <v>0</v>
      </c>
      <c r="Q22" s="1001"/>
      <c r="R22" s="1017"/>
      <c r="S22" s="718"/>
      <c r="T22" s="1001"/>
      <c r="U22" s="1001"/>
      <c r="V22" s="642">
        <f t="shared" si="4"/>
        <v>2</v>
      </c>
    </row>
    <row r="23" spans="1:22" ht="15.75" thickBot="1" x14ac:dyDescent="0.3">
      <c r="A23" s="651">
        <v>44552</v>
      </c>
      <c r="B23" s="657" t="str">
        <f t="shared" si="0"/>
        <v>St</v>
      </c>
      <c r="C23" s="748">
        <f t="shared" si="1"/>
        <v>0</v>
      </c>
      <c r="D23" s="837">
        <f t="shared" si="2"/>
        <v>0</v>
      </c>
      <c r="E23" s="724"/>
      <c r="F23" s="726"/>
      <c r="G23" s="727"/>
      <c r="H23" s="654"/>
      <c r="I23" s="657"/>
      <c r="J23" s="654"/>
      <c r="K23" s="657"/>
      <c r="L23" s="654"/>
      <c r="M23" s="657">
        <v>31</v>
      </c>
      <c r="N23" s="714"/>
      <c r="O23" s="897" t="s">
        <v>364</v>
      </c>
      <c r="P23" s="895" t="s">
        <v>363</v>
      </c>
      <c r="Q23" s="1015">
        <f>Q17-P24-Q3</f>
        <v>4805.0400000000081</v>
      </c>
      <c r="R23" s="1018"/>
      <c r="S23" s="1015">
        <f>T17-P24-Q3</f>
        <v>4805.0400000000081</v>
      </c>
      <c r="T23" s="1001"/>
      <c r="U23" s="1001"/>
      <c r="V23" s="642">
        <f t="shared" si="4"/>
        <v>3</v>
      </c>
    </row>
    <row r="24" spans="1:22" ht="15.75" thickBot="1" x14ac:dyDescent="0.3">
      <c r="A24" s="651">
        <v>44553</v>
      </c>
      <c r="B24" s="657" t="str">
        <f t="shared" si="0"/>
        <v>Čt</v>
      </c>
      <c r="C24" s="748">
        <f t="shared" si="1"/>
        <v>0</v>
      </c>
      <c r="D24" s="837">
        <f t="shared" si="2"/>
        <v>0</v>
      </c>
      <c r="E24" s="724"/>
      <c r="F24" s="726"/>
      <c r="G24" s="727"/>
      <c r="H24" s="654"/>
      <c r="I24" s="657"/>
      <c r="J24" s="654"/>
      <c r="K24" s="657"/>
      <c r="L24" s="654"/>
      <c r="M24" s="657">
        <v>31</v>
      </c>
      <c r="N24" s="714"/>
      <c r="O24" s="898">
        <f>P12-Q5</f>
        <v>120266.04000000001</v>
      </c>
      <c r="P24" s="747">
        <f>O26-O28</f>
        <v>-100315</v>
      </c>
      <c r="Q24" s="1020"/>
      <c r="R24" s="1019"/>
      <c r="S24" s="1006"/>
      <c r="T24" s="1006"/>
      <c r="U24" s="1006"/>
      <c r="V24" s="642">
        <f t="shared" si="4"/>
        <v>4</v>
      </c>
    </row>
    <row r="25" spans="1:22" ht="15.75" thickBot="1" x14ac:dyDescent="0.3">
      <c r="A25" s="651">
        <v>44554</v>
      </c>
      <c r="B25" s="657" t="str">
        <f t="shared" si="0"/>
        <v>Pá</v>
      </c>
      <c r="C25" s="748">
        <f t="shared" si="1"/>
        <v>0</v>
      </c>
      <c r="D25" s="837">
        <f t="shared" si="2"/>
        <v>0</v>
      </c>
      <c r="E25" s="724"/>
      <c r="F25" s="726"/>
      <c r="G25" s="727"/>
      <c r="H25" s="654"/>
      <c r="I25" s="657"/>
      <c r="J25" s="654"/>
      <c r="K25" s="657"/>
      <c r="L25" s="654"/>
      <c r="M25" s="657">
        <v>31</v>
      </c>
      <c r="N25" s="714"/>
      <c r="O25" s="711" t="s">
        <v>372</v>
      </c>
      <c r="P25" s="646"/>
      <c r="Q25" s="718"/>
      <c r="R25" s="718"/>
      <c r="S25" s="718"/>
      <c r="T25" s="718"/>
      <c r="U25" s="718"/>
      <c r="V25" s="642">
        <f t="shared" si="4"/>
        <v>5</v>
      </c>
    </row>
    <row r="26" spans="1:22" ht="15.75" thickBot="1" x14ac:dyDescent="0.3">
      <c r="A26" s="651">
        <v>44555</v>
      </c>
      <c r="B26" s="657" t="str">
        <f t="shared" si="0"/>
        <v>So</v>
      </c>
      <c r="C26" s="748">
        <f t="shared" si="1"/>
        <v>0</v>
      </c>
      <c r="D26" s="837">
        <f t="shared" si="2"/>
        <v>0</v>
      </c>
      <c r="E26" s="724"/>
      <c r="F26" s="726"/>
      <c r="G26" s="727"/>
      <c r="H26" s="654"/>
      <c r="I26" s="657"/>
      <c r="J26" s="654"/>
      <c r="K26" s="657"/>
      <c r="L26" s="654"/>
      <c r="M26" s="657">
        <v>31</v>
      </c>
      <c r="N26" s="714"/>
      <c r="O26" s="738">
        <v>15146</v>
      </c>
      <c r="P26" s="747"/>
      <c r="Q26" s="718"/>
      <c r="R26" s="718"/>
      <c r="S26" s="718"/>
      <c r="T26" s="718"/>
      <c r="U26" s="718"/>
      <c r="V26" s="642">
        <f t="shared" si="4"/>
        <v>6</v>
      </c>
    </row>
    <row r="27" spans="1:22" ht="15.75" thickBot="1" x14ac:dyDescent="0.3">
      <c r="A27" s="651">
        <v>44556</v>
      </c>
      <c r="B27" s="657" t="str">
        <f t="shared" si="0"/>
        <v>Ne</v>
      </c>
      <c r="C27" s="748">
        <f t="shared" si="1"/>
        <v>0</v>
      </c>
      <c r="D27" s="837">
        <f t="shared" si="2"/>
        <v>0</v>
      </c>
      <c r="E27" s="724"/>
      <c r="F27" s="726"/>
      <c r="G27" s="727"/>
      <c r="H27" s="654"/>
      <c r="I27" s="657"/>
      <c r="J27" s="654"/>
      <c r="K27" s="657"/>
      <c r="L27" s="654"/>
      <c r="M27" s="657">
        <v>31</v>
      </c>
      <c r="N27" s="714"/>
      <c r="O27" s="711" t="s">
        <v>373</v>
      </c>
      <c r="P27" s="646"/>
      <c r="Q27" s="718"/>
      <c r="R27" s="718"/>
      <c r="S27" s="718"/>
      <c r="T27" s="718"/>
      <c r="U27" s="718"/>
      <c r="V27" s="642">
        <f t="shared" si="4"/>
        <v>7</v>
      </c>
    </row>
    <row r="28" spans="1:22" ht="15.75" thickBot="1" x14ac:dyDescent="0.3">
      <c r="A28" s="651">
        <v>44557</v>
      </c>
      <c r="B28" s="657" t="str">
        <f t="shared" si="0"/>
        <v>Po</v>
      </c>
      <c r="C28" s="748">
        <f t="shared" si="1"/>
        <v>0</v>
      </c>
      <c r="D28" s="837">
        <f t="shared" si="2"/>
        <v>0</v>
      </c>
      <c r="E28" s="724"/>
      <c r="F28" s="726"/>
      <c r="G28" s="727"/>
      <c r="H28" s="654"/>
      <c r="I28" s="657"/>
      <c r="J28" s="654"/>
      <c r="K28" s="657"/>
      <c r="L28" s="654"/>
      <c r="M28" s="657">
        <v>31</v>
      </c>
      <c r="N28" s="714"/>
      <c r="O28" s="738">
        <f>'11hod21'!O26</f>
        <v>115461</v>
      </c>
      <c r="P28" s="646"/>
      <c r="Q28" s="718"/>
      <c r="R28" s="718"/>
      <c r="S28" s="718"/>
      <c r="T28" s="718"/>
      <c r="U28" s="718"/>
      <c r="V28" s="642">
        <f t="shared" si="4"/>
        <v>1</v>
      </c>
    </row>
    <row r="29" spans="1:22" ht="15.75" thickBot="1" x14ac:dyDescent="0.3">
      <c r="A29" s="651">
        <v>44558</v>
      </c>
      <c r="B29" s="657" t="str">
        <f t="shared" si="0"/>
        <v>Út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/>
      <c r="I29" s="657"/>
      <c r="J29" s="654"/>
      <c r="K29" s="657"/>
      <c r="L29" s="654"/>
      <c r="M29" s="657">
        <v>31</v>
      </c>
      <c r="N29" s="714"/>
      <c r="O29" s="712"/>
      <c r="P29" s="648"/>
      <c r="Q29" s="718"/>
      <c r="R29" s="718"/>
      <c r="S29" s="718"/>
      <c r="T29" s="718"/>
      <c r="U29" s="718"/>
      <c r="V29" s="642">
        <f t="shared" si="4"/>
        <v>2</v>
      </c>
    </row>
    <row r="30" spans="1:22" ht="15.75" thickBot="1" x14ac:dyDescent="0.3">
      <c r="A30" s="651">
        <v>44559</v>
      </c>
      <c r="B30" s="657" t="str">
        <f t="shared" si="0"/>
        <v>St</v>
      </c>
      <c r="C30" s="748">
        <f t="shared" si="1"/>
        <v>0</v>
      </c>
      <c r="D30" s="837">
        <f t="shared" si="2"/>
        <v>0</v>
      </c>
      <c r="E30" s="724"/>
      <c r="F30" s="726"/>
      <c r="G30" s="727"/>
      <c r="H30" s="654"/>
      <c r="I30" s="657"/>
      <c r="J30" s="654"/>
      <c r="K30" s="657"/>
      <c r="L30" s="654"/>
      <c r="M30" s="657">
        <v>31</v>
      </c>
      <c r="N30" s="714"/>
      <c r="O30" s="715"/>
      <c r="P30" s="720"/>
      <c r="Q30" s="718"/>
      <c r="R30" s="718"/>
      <c r="S30" s="718"/>
      <c r="T30" s="718"/>
      <c r="U30" s="718"/>
      <c r="V30" s="642">
        <f t="shared" si="4"/>
        <v>3</v>
      </c>
    </row>
    <row r="31" spans="1:22" ht="15.75" thickBot="1" x14ac:dyDescent="0.3">
      <c r="A31" s="651">
        <v>44560</v>
      </c>
      <c r="B31" s="657" t="str">
        <f t="shared" si="0"/>
        <v>Čt</v>
      </c>
      <c r="C31" s="748">
        <f t="shared" si="1"/>
        <v>0</v>
      </c>
      <c r="D31" s="837">
        <f t="shared" si="2"/>
        <v>0</v>
      </c>
      <c r="E31" s="724"/>
      <c r="F31" s="726"/>
      <c r="G31" s="727"/>
      <c r="H31" s="654"/>
      <c r="I31" s="657"/>
      <c r="J31" s="654"/>
      <c r="K31" s="657"/>
      <c r="L31" s="654"/>
      <c r="M31" s="657">
        <v>31</v>
      </c>
      <c r="N31" s="714"/>
      <c r="O31" s="649"/>
      <c r="P31" s="646"/>
      <c r="Q31" s="718"/>
      <c r="R31" s="718"/>
      <c r="S31" s="718"/>
      <c r="T31" s="718"/>
      <c r="U31" s="718"/>
      <c r="V31" s="642">
        <f t="shared" si="4"/>
        <v>4</v>
      </c>
    </row>
    <row r="32" spans="1:22" ht="15.75" thickBot="1" x14ac:dyDescent="0.3">
      <c r="A32" s="651">
        <v>44561</v>
      </c>
      <c r="B32" s="657" t="str">
        <f t="shared" si="0"/>
        <v>Pá</v>
      </c>
      <c r="C32" s="748">
        <f t="shared" si="1"/>
        <v>0</v>
      </c>
      <c r="D32" s="837">
        <f t="shared" si="2"/>
        <v>0</v>
      </c>
      <c r="E32" s="724"/>
      <c r="F32" s="726"/>
      <c r="G32" s="727"/>
      <c r="H32" s="654"/>
      <c r="I32" s="657"/>
      <c r="J32" s="654"/>
      <c r="K32" s="657"/>
      <c r="L32" s="654"/>
      <c r="M32" s="657">
        <v>31</v>
      </c>
      <c r="N32" s="714"/>
      <c r="O32" s="649"/>
      <c r="P32" s="646"/>
      <c r="Q32" s="718"/>
      <c r="R32" s="718"/>
      <c r="S32" s="718"/>
      <c r="T32" s="718"/>
      <c r="U32" s="718"/>
      <c r="V32" s="642">
        <f t="shared" si="4"/>
        <v>5</v>
      </c>
    </row>
    <row r="33" spans="1:22" ht="15.75" thickBot="1" x14ac:dyDescent="0.3">
      <c r="A33" s="651">
        <v>44562</v>
      </c>
      <c r="B33" s="657" t="str">
        <f t="shared" si="0"/>
        <v>So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/>
      <c r="I33" s="657"/>
      <c r="J33" s="654"/>
      <c r="K33" s="657"/>
      <c r="L33" s="654"/>
      <c r="M33" s="657">
        <v>31</v>
      </c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6</v>
      </c>
    </row>
    <row r="34" spans="1:22" ht="15.75" thickBot="1" x14ac:dyDescent="0.3">
      <c r="A34" s="651">
        <v>44563</v>
      </c>
      <c r="B34" s="657" t="str">
        <f t="shared" si="0"/>
        <v>Ne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/>
      <c r="I34" s="657"/>
      <c r="J34" s="654"/>
      <c r="K34" s="657"/>
      <c r="L34" s="654"/>
      <c r="M34" s="657">
        <v>31</v>
      </c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6">WEEKDAY(A34,2)</f>
        <v>7</v>
      </c>
    </row>
    <row r="35" spans="1:22" ht="15.75" thickBot="1" x14ac:dyDescent="0.3">
      <c r="A35" s="651">
        <v>44564</v>
      </c>
      <c r="B35" s="658" t="str">
        <f t="shared" si="0"/>
        <v>Po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5"/>
      <c r="I35" s="658"/>
      <c r="J35" s="655"/>
      <c r="K35" s="658"/>
      <c r="L35" s="655"/>
      <c r="M35" s="658">
        <v>31</v>
      </c>
      <c r="N35" s="709"/>
      <c r="O35" s="652"/>
      <c r="P35" s="648"/>
      <c r="Q35" s="718"/>
      <c r="R35" s="718"/>
      <c r="S35" s="718"/>
      <c r="T35" s="718"/>
      <c r="U35" s="718"/>
      <c r="V35" s="642">
        <f t="shared" si="6"/>
        <v>1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6.9374999999999991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hyperlinks>
    <hyperlink ref="H2" location="Marquardt Lightronics Gmbh_x000a_https://maps.app.goo.gl/zjxW3Q71YuHRhDB36" display="Amt Wachsenburg" xr:uid="{53FF3C02-532D-B243-827F-2C4F47BBF9ED}"/>
  </hyperlinks>
  <pageMargins left="0.7" right="0.7" top="0.75" bottom="0.75" header="0.3" footer="0.3"/>
  <drawing r:id="rId1"/>
  <tableParts count="1">
    <tablePart r:id="rId2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97915E-B149-484F-A742-353F7370BE1E}">
  <dimension ref="A1:V45"/>
  <sheetViews>
    <sheetView topLeftCell="U2" zoomScaleNormal="60" zoomScaleSheetLayoutView="100" workbookViewId="0">
      <selection activeCell="Y42" sqref="Y42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710937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44562</v>
      </c>
      <c r="B2" s="656" t="str">
        <f t="shared" ref="B2:B35" si="0">CHOOSE(WEEKDAY(V2),"Po","Út","St","Čt","Pá","So","Ne")</f>
        <v>So</v>
      </c>
      <c r="C2" s="748">
        <f t="shared" ref="C2:C35" si="1">G2-E2-F2</f>
        <v>0</v>
      </c>
      <c r="D2" s="836">
        <f t="shared" ref="D2:D35" si="2">(N2*C2)*24</f>
        <v>0</v>
      </c>
      <c r="E2" s="723"/>
      <c r="F2" s="726"/>
      <c r="G2" s="726"/>
      <c r="H2" s="876"/>
      <c r="I2" s="656"/>
      <c r="J2" s="653"/>
      <c r="K2" s="656"/>
      <c r="L2" s="653"/>
      <c r="M2" s="656">
        <v>31</v>
      </c>
      <c r="N2" s="713"/>
      <c r="O2" s="834">
        <f>(O4+O6)</f>
        <v>193.00000000000003</v>
      </c>
      <c r="P2" s="716">
        <v>193</v>
      </c>
      <c r="Q2" s="853">
        <f>'12hod21'!Q5</f>
        <v>30155</v>
      </c>
      <c r="R2" s="644" t="s">
        <v>17</v>
      </c>
      <c r="S2" s="644" t="str">
        <f>'12hod21'!S5</f>
        <v>Výplata za Prosinec</v>
      </c>
      <c r="T2" s="875">
        <f>'12hod21'!T5</f>
        <v>44579</v>
      </c>
      <c r="U2" s="722">
        <f>T7*20</f>
        <v>0</v>
      </c>
      <c r="V2" s="642">
        <f t="shared" ref="V2:V32" si="3">WEEKDAY(A2,2)</f>
        <v>6</v>
      </c>
    </row>
    <row r="3" spans="1:22" ht="15.75" thickBot="1" x14ac:dyDescent="0.3">
      <c r="A3" s="651">
        <v>44563</v>
      </c>
      <c r="B3" s="657" t="str">
        <f t="shared" si="0"/>
        <v>Ne</v>
      </c>
      <c r="C3" s="748">
        <f t="shared" si="1"/>
        <v>0</v>
      </c>
      <c r="D3" s="837">
        <f t="shared" si="2"/>
        <v>0</v>
      </c>
      <c r="E3" s="723"/>
      <c r="F3" s="726"/>
      <c r="G3" s="726"/>
      <c r="H3" s="654"/>
      <c r="I3" s="657"/>
      <c r="J3" s="654"/>
      <c r="K3" s="657"/>
      <c r="L3" s="654"/>
      <c r="M3" s="657">
        <v>31</v>
      </c>
      <c r="N3" s="714"/>
      <c r="O3" s="711" t="s">
        <v>19</v>
      </c>
      <c r="P3" s="717" t="s">
        <v>19</v>
      </c>
      <c r="Q3" s="738">
        <v>115461</v>
      </c>
      <c r="R3" s="611" t="s">
        <v>48</v>
      </c>
      <c r="S3" s="611" t="s">
        <v>48</v>
      </c>
      <c r="T3" s="874">
        <v>44551</v>
      </c>
      <c r="U3" s="718"/>
      <c r="V3" s="642">
        <f t="shared" si="3"/>
        <v>7</v>
      </c>
    </row>
    <row r="4" spans="1:22" ht="15.75" thickBot="1" x14ac:dyDescent="0.3">
      <c r="A4" s="651">
        <v>44564</v>
      </c>
      <c r="B4" s="657" t="str">
        <f t="shared" si="0"/>
        <v>Po</v>
      </c>
      <c r="C4" s="748">
        <f t="shared" si="1"/>
        <v>0</v>
      </c>
      <c r="D4" s="837">
        <f t="shared" si="2"/>
        <v>0</v>
      </c>
      <c r="E4" s="723"/>
      <c r="F4" s="726"/>
      <c r="G4" s="726"/>
      <c r="H4" s="654"/>
      <c r="I4" s="657"/>
      <c r="J4" s="654"/>
      <c r="K4" s="657"/>
      <c r="L4" s="654"/>
      <c r="M4" s="657">
        <v>31</v>
      </c>
      <c r="N4" s="714"/>
      <c r="O4" s="835">
        <f>O40*24</f>
        <v>193.00000000000003</v>
      </c>
      <c r="P4" s="717">
        <v>193</v>
      </c>
      <c r="Q4" s="738">
        <v>0</v>
      </c>
      <c r="R4" s="611" t="s">
        <v>17</v>
      </c>
      <c r="S4" s="611" t="s">
        <v>210</v>
      </c>
      <c r="T4" s="646"/>
      <c r="U4" s="718"/>
      <c r="V4" s="642">
        <f t="shared" si="3"/>
        <v>1</v>
      </c>
    </row>
    <row r="5" spans="1:22" ht="15.75" thickBot="1" x14ac:dyDescent="0.3">
      <c r="A5" s="651">
        <v>44565</v>
      </c>
      <c r="B5" s="657" t="str">
        <f t="shared" si="0"/>
        <v>Út</v>
      </c>
      <c r="C5" s="748">
        <f t="shared" si="1"/>
        <v>0.87500000000000011</v>
      </c>
      <c r="D5" s="837">
        <f t="shared" si="2"/>
        <v>0</v>
      </c>
      <c r="E5" s="723">
        <v>4.1666666666666664E-2</v>
      </c>
      <c r="F5" s="726">
        <f t="shared" ref="F5:F11" si="4">TIME(1,0,0)</f>
        <v>4.1666666666666664E-2</v>
      </c>
      <c r="G5" s="727">
        <v>0.95833333333333337</v>
      </c>
      <c r="H5" s="654"/>
      <c r="I5" s="657"/>
      <c r="J5" s="654"/>
      <c r="K5" s="657"/>
      <c r="L5" s="654"/>
      <c r="M5" s="657">
        <v>31</v>
      </c>
      <c r="N5" s="714"/>
      <c r="O5" s="711" t="s">
        <v>14</v>
      </c>
      <c r="P5" s="717" t="s">
        <v>14</v>
      </c>
      <c r="Q5" s="738">
        <v>24222</v>
      </c>
      <c r="R5" s="611" t="s">
        <v>17</v>
      </c>
      <c r="S5" s="611" t="s">
        <v>311</v>
      </c>
      <c r="T5" s="874">
        <v>44608</v>
      </c>
      <c r="U5" s="718"/>
      <c r="V5" s="642">
        <f t="shared" si="3"/>
        <v>2</v>
      </c>
    </row>
    <row r="6" spans="1:22" ht="15.75" thickBot="1" x14ac:dyDescent="0.3">
      <c r="A6" s="651">
        <v>44566</v>
      </c>
      <c r="B6" s="657" t="str">
        <f t="shared" si="0"/>
        <v>St</v>
      </c>
      <c r="C6" s="748">
        <f t="shared" si="1"/>
        <v>0.87500000000000011</v>
      </c>
      <c r="D6" s="837">
        <f t="shared" si="2"/>
        <v>0</v>
      </c>
      <c r="E6" s="724">
        <v>4.1666666666666664E-2</v>
      </c>
      <c r="F6" s="726">
        <f t="shared" si="4"/>
        <v>4.1666666666666664E-2</v>
      </c>
      <c r="G6" s="727">
        <v>0.95833333333333337</v>
      </c>
      <c r="H6" s="654"/>
      <c r="I6" s="657"/>
      <c r="J6" s="654"/>
      <c r="K6" s="657"/>
      <c r="L6" s="654"/>
      <c r="M6" s="657">
        <v>31</v>
      </c>
      <c r="N6" s="714"/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3"/>
        <v>3</v>
      </c>
    </row>
    <row r="7" spans="1:22" ht="15.75" thickBot="1" x14ac:dyDescent="0.3">
      <c r="A7" s="651">
        <v>44567</v>
      </c>
      <c r="B7" s="657" t="str">
        <f t="shared" si="0"/>
        <v>Čt</v>
      </c>
      <c r="C7" s="748">
        <f t="shared" si="1"/>
        <v>0.87500000000000011</v>
      </c>
      <c r="D7" s="837">
        <f t="shared" si="2"/>
        <v>0</v>
      </c>
      <c r="E7" s="723">
        <v>4.1666666666666664E-2</v>
      </c>
      <c r="F7" s="726">
        <f t="shared" si="4"/>
        <v>4.1666666666666664E-2</v>
      </c>
      <c r="G7" s="726">
        <v>0.95833333333333337</v>
      </c>
      <c r="H7" s="654"/>
      <c r="I7" s="657"/>
      <c r="J7" s="654"/>
      <c r="K7" s="657"/>
      <c r="L7" s="654"/>
      <c r="M7" s="657">
        <v>31</v>
      </c>
      <c r="N7" s="714"/>
      <c r="O7" s="711" t="s">
        <v>20</v>
      </c>
      <c r="P7" s="646" t="s">
        <v>20</v>
      </c>
      <c r="Q7" s="924">
        <f>Q4</f>
        <v>0</v>
      </c>
      <c r="R7" s="718"/>
      <c r="S7" s="718"/>
      <c r="T7" s="718"/>
      <c r="U7" s="718"/>
      <c r="V7" s="642">
        <f t="shared" si="3"/>
        <v>4</v>
      </c>
    </row>
    <row r="8" spans="1:22" ht="15.75" thickBot="1" x14ac:dyDescent="0.3">
      <c r="A8" s="651">
        <v>44568</v>
      </c>
      <c r="B8" s="657" t="str">
        <f t="shared" si="0"/>
        <v>Pá</v>
      </c>
      <c r="C8" s="748">
        <f t="shared" si="1"/>
        <v>0.87500000000000011</v>
      </c>
      <c r="D8" s="837">
        <f t="shared" si="2"/>
        <v>0</v>
      </c>
      <c r="E8" s="723">
        <v>4.1666666666666664E-2</v>
      </c>
      <c r="F8" s="726">
        <f t="shared" si="4"/>
        <v>4.1666666666666664E-2</v>
      </c>
      <c r="G8" s="726">
        <v>0.95833333333333337</v>
      </c>
      <c r="H8" s="654"/>
      <c r="I8" s="657"/>
      <c r="J8" s="654"/>
      <c r="K8" s="657"/>
      <c r="L8" s="654"/>
      <c r="M8" s="657">
        <v>31</v>
      </c>
      <c r="N8" s="714"/>
      <c r="O8" s="711" t="s">
        <v>22</v>
      </c>
      <c r="P8" s="646" t="s">
        <v>22</v>
      </c>
      <c r="Q8" s="657" t="s">
        <v>229</v>
      </c>
      <c r="R8" s="718"/>
      <c r="S8" s="718"/>
      <c r="T8" s="718"/>
      <c r="U8" s="718"/>
      <c r="V8" s="642">
        <f t="shared" si="3"/>
        <v>5</v>
      </c>
    </row>
    <row r="9" spans="1:22" ht="15.75" thickBot="1" x14ac:dyDescent="0.3">
      <c r="A9" s="651">
        <v>44569</v>
      </c>
      <c r="B9" s="657" t="str">
        <f t="shared" si="0"/>
        <v>So</v>
      </c>
      <c r="C9" s="748">
        <f t="shared" si="1"/>
        <v>0.87500000000000011</v>
      </c>
      <c r="D9" s="837">
        <f t="shared" si="2"/>
        <v>0</v>
      </c>
      <c r="E9" s="723">
        <v>4.1666666666666664E-2</v>
      </c>
      <c r="F9" s="726">
        <f t="shared" si="4"/>
        <v>4.1666666666666664E-2</v>
      </c>
      <c r="G9" s="726">
        <v>0.95833333333333337</v>
      </c>
      <c r="H9" s="654"/>
      <c r="I9" s="657"/>
      <c r="J9" s="654"/>
      <c r="K9" s="657"/>
      <c r="L9" s="654"/>
      <c r="M9" s="657">
        <v>31</v>
      </c>
      <c r="N9" s="714"/>
      <c r="O9" s="711" t="s">
        <v>23</v>
      </c>
      <c r="P9" s="646" t="s">
        <v>23</v>
      </c>
      <c r="Q9" s="657">
        <f>SUM(Q2:Q4)</f>
        <v>145616</v>
      </c>
      <c r="R9" s="718"/>
      <c r="S9" s="718"/>
      <c r="T9" s="718"/>
      <c r="U9" s="718"/>
      <c r="V9" s="642">
        <f t="shared" si="3"/>
        <v>6</v>
      </c>
    </row>
    <row r="10" spans="1:22" ht="15.75" thickBot="1" x14ac:dyDescent="0.3">
      <c r="A10" s="651">
        <v>44570</v>
      </c>
      <c r="B10" s="657" t="str">
        <f t="shared" si="0"/>
        <v>Ne</v>
      </c>
      <c r="C10" s="748">
        <f t="shared" si="1"/>
        <v>0.87500000000000011</v>
      </c>
      <c r="D10" s="837">
        <f t="shared" si="2"/>
        <v>0</v>
      </c>
      <c r="E10" s="723">
        <v>4.1666666666666664E-2</v>
      </c>
      <c r="F10" s="726">
        <f t="shared" si="4"/>
        <v>4.1666666666666664E-2</v>
      </c>
      <c r="G10" s="726">
        <v>0.95833333333333337</v>
      </c>
      <c r="H10" s="654"/>
      <c r="I10" s="657"/>
      <c r="J10" s="654"/>
      <c r="K10" s="657"/>
      <c r="L10" s="654"/>
      <c r="M10" s="657">
        <v>31</v>
      </c>
      <c r="N10" s="714"/>
      <c r="O10" s="738">
        <f>(O2*380)+U2</f>
        <v>73340.000000000015</v>
      </c>
      <c r="P10" s="747">
        <f>SUM(P2*380)</f>
        <v>73340</v>
      </c>
      <c r="Q10" s="719"/>
      <c r="R10" s="718"/>
      <c r="S10" s="718"/>
      <c r="T10" s="718"/>
      <c r="U10" s="718"/>
      <c r="V10" s="642">
        <f t="shared" si="3"/>
        <v>7</v>
      </c>
    </row>
    <row r="11" spans="1:22" ht="15.75" thickBot="1" x14ac:dyDescent="0.3">
      <c r="A11" s="651">
        <v>44571</v>
      </c>
      <c r="B11" s="657" t="str">
        <f t="shared" si="0"/>
        <v>Po</v>
      </c>
      <c r="C11" s="748">
        <f t="shared" si="1"/>
        <v>0.87500000000000011</v>
      </c>
      <c r="D11" s="837">
        <f t="shared" si="2"/>
        <v>0</v>
      </c>
      <c r="E11" s="723">
        <v>4.1666666666666664E-2</v>
      </c>
      <c r="F11" s="726">
        <f t="shared" si="4"/>
        <v>4.1666666666666664E-2</v>
      </c>
      <c r="G11" s="726">
        <v>0.95833333333333337</v>
      </c>
      <c r="H11" s="654"/>
      <c r="I11" s="657"/>
      <c r="J11" s="654"/>
      <c r="K11" s="657"/>
      <c r="L11" s="654"/>
      <c r="M11" s="657">
        <v>31</v>
      </c>
      <c r="N11" s="714"/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3"/>
        <v>1</v>
      </c>
    </row>
    <row r="12" spans="1:22" ht="15.75" thickBot="1" x14ac:dyDescent="0.3">
      <c r="A12" s="651">
        <v>44572</v>
      </c>
      <c r="B12" s="657" t="str">
        <f t="shared" si="0"/>
        <v>Út</v>
      </c>
      <c r="C12" s="748">
        <f>G12-E12-F12</f>
        <v>0.4375</v>
      </c>
      <c r="D12" s="837">
        <f t="shared" si="2"/>
        <v>63</v>
      </c>
      <c r="E12" s="724">
        <v>0.33333333333333331</v>
      </c>
      <c r="F12" s="726">
        <f>TIME(0,30,0)</f>
        <v>2.0833333333333332E-2</v>
      </c>
      <c r="G12" s="727">
        <v>0.79166666666666663</v>
      </c>
      <c r="H12" s="654"/>
      <c r="I12" s="657"/>
      <c r="J12" s="654"/>
      <c r="K12" s="657" t="s">
        <v>338</v>
      </c>
      <c r="L12" s="654"/>
      <c r="M12" s="657">
        <v>31</v>
      </c>
      <c r="N12" s="714">
        <v>6</v>
      </c>
      <c r="O12" s="738">
        <f>(O10+O20+O18-O22)-O14-P24</f>
        <v>29733.400000000016</v>
      </c>
      <c r="P12" s="747">
        <f>(P10+P18+P20-P22)-P14-P24</f>
        <v>29733.4</v>
      </c>
      <c r="Q12" s="718"/>
      <c r="R12" s="718"/>
      <c r="S12" s="718"/>
      <c r="T12" s="718"/>
      <c r="U12" s="718"/>
      <c r="V12" s="642">
        <f t="shared" si="3"/>
        <v>2</v>
      </c>
    </row>
    <row r="13" spans="1:22" ht="15.75" thickBot="1" x14ac:dyDescent="0.3">
      <c r="A13" s="651">
        <v>44573</v>
      </c>
      <c r="B13" s="657" t="str">
        <f t="shared" si="0"/>
        <v>St</v>
      </c>
      <c r="C13" s="748">
        <f t="shared" si="1"/>
        <v>0.47916666666666663</v>
      </c>
      <c r="D13" s="837">
        <f t="shared" si="2"/>
        <v>69</v>
      </c>
      <c r="E13" s="724">
        <v>0.29166666666666669</v>
      </c>
      <c r="F13" s="726">
        <f>TIME(0,30,0)</f>
        <v>2.0833333333333332E-2</v>
      </c>
      <c r="G13" s="727">
        <v>0.79166666666666663</v>
      </c>
      <c r="H13" s="654"/>
      <c r="I13" s="657"/>
      <c r="J13" s="654"/>
      <c r="K13" s="657"/>
      <c r="L13" s="654"/>
      <c r="M13" s="657">
        <v>31</v>
      </c>
      <c r="N13" s="714">
        <v>6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3"/>
        <v>3</v>
      </c>
    </row>
    <row r="14" spans="1:22" ht="15.75" thickBot="1" x14ac:dyDescent="0.3">
      <c r="A14" s="651">
        <v>44574</v>
      </c>
      <c r="B14" s="657" t="str">
        <f t="shared" si="0"/>
        <v>Čt</v>
      </c>
      <c r="C14" s="748">
        <f t="shared" si="1"/>
        <v>0</v>
      </c>
      <c r="D14" s="837">
        <f t="shared" si="2"/>
        <v>0</v>
      </c>
      <c r="E14" s="723"/>
      <c r="F14" s="726"/>
      <c r="G14" s="726"/>
      <c r="H14" s="654"/>
      <c r="I14" s="657"/>
      <c r="J14" s="654"/>
      <c r="K14" s="657"/>
      <c r="L14" s="654"/>
      <c r="M14" s="657">
        <v>31</v>
      </c>
      <c r="N14" s="714">
        <v>6</v>
      </c>
      <c r="O14" s="738">
        <f>(O16*24.36)</f>
        <v>22167.599999999999</v>
      </c>
      <c r="P14" s="747">
        <f>(P16*24.36)</f>
        <v>22167.599999999999</v>
      </c>
      <c r="Q14" s="923" t="s">
        <v>458</v>
      </c>
      <c r="R14" s="1004">
        <f>P14+P22-P18-P20</f>
        <v>21417.599999999999</v>
      </c>
      <c r="S14" s="1007"/>
      <c r="T14" s="923" t="s">
        <v>462</v>
      </c>
      <c r="U14" s="1004">
        <f>P14+P22</f>
        <v>22167.599999999999</v>
      </c>
      <c r="V14" s="642">
        <f t="shared" si="3"/>
        <v>4</v>
      </c>
    </row>
    <row r="15" spans="1:22" ht="15.75" thickBot="1" x14ac:dyDescent="0.3">
      <c r="A15" s="651">
        <v>44575</v>
      </c>
      <c r="B15" s="657" t="str">
        <f t="shared" si="0"/>
        <v>Pá</v>
      </c>
      <c r="C15" s="748">
        <f t="shared" si="1"/>
        <v>0.87500000000000011</v>
      </c>
      <c r="D15" s="837">
        <f t="shared" si="2"/>
        <v>0</v>
      </c>
      <c r="E15" s="723">
        <v>4.1666666666666664E-2</v>
      </c>
      <c r="F15" s="726">
        <f>TIME(1,0,0)</f>
        <v>4.1666666666666664E-2</v>
      </c>
      <c r="G15" s="726">
        <v>0.95833333333333337</v>
      </c>
      <c r="H15" s="654"/>
      <c r="I15" s="657"/>
      <c r="J15" s="654"/>
      <c r="K15" s="657"/>
      <c r="L15" s="654"/>
      <c r="M15" s="657">
        <v>31</v>
      </c>
      <c r="N15" s="714"/>
      <c r="O15" s="711" t="s">
        <v>29</v>
      </c>
      <c r="P15" s="646" t="s">
        <v>29</v>
      </c>
      <c r="Q15" s="1001" t="s">
        <v>459</v>
      </c>
      <c r="R15" s="1002">
        <f>P10</f>
        <v>73340</v>
      </c>
      <c r="S15" s="1008"/>
      <c r="T15" s="1001" t="s">
        <v>463</v>
      </c>
      <c r="U15" s="1002">
        <f>P10+P18+P20</f>
        <v>74090</v>
      </c>
      <c r="V15" s="642">
        <f t="shared" si="3"/>
        <v>5</v>
      </c>
    </row>
    <row r="16" spans="1:22" ht="15.75" thickBot="1" x14ac:dyDescent="0.3">
      <c r="A16" s="651">
        <v>44576</v>
      </c>
      <c r="B16" s="657" t="str">
        <f t="shared" si="0"/>
        <v>So</v>
      </c>
      <c r="C16" s="748">
        <f t="shared" si="1"/>
        <v>0.12500000000000003</v>
      </c>
      <c r="D16" s="837">
        <f t="shared" si="2"/>
        <v>0</v>
      </c>
      <c r="E16" s="723">
        <v>0.41666666666666669</v>
      </c>
      <c r="F16" s="726">
        <f>TIME(1,0,0)</f>
        <v>4.1666666666666664E-2</v>
      </c>
      <c r="G16" s="726">
        <v>0.58333333333333337</v>
      </c>
      <c r="H16" s="654"/>
      <c r="I16" s="657"/>
      <c r="J16" s="654"/>
      <c r="K16" s="657"/>
      <c r="L16" s="654"/>
      <c r="M16" s="657">
        <v>31</v>
      </c>
      <c r="N16" s="714"/>
      <c r="O16" s="893">
        <f>'01cash22'!O37</f>
        <v>910</v>
      </c>
      <c r="P16" s="894">
        <v>910</v>
      </c>
      <c r="Q16" s="1001"/>
      <c r="R16" s="1003">
        <f>R15-R14</f>
        <v>51922.400000000001</v>
      </c>
      <c r="S16" s="1008"/>
      <c r="T16" s="1001"/>
      <c r="U16" s="1002">
        <f>U15-U14</f>
        <v>51922.400000000001</v>
      </c>
      <c r="V16" s="642">
        <f t="shared" si="3"/>
        <v>6</v>
      </c>
    </row>
    <row r="17" spans="1:22" ht="15.75" thickBot="1" x14ac:dyDescent="0.3">
      <c r="A17" s="651">
        <v>44577</v>
      </c>
      <c r="B17" s="657" t="str">
        <f t="shared" si="0"/>
        <v>Ne</v>
      </c>
      <c r="C17" s="748">
        <f t="shared" si="1"/>
        <v>0</v>
      </c>
      <c r="D17" s="837">
        <f t="shared" si="2"/>
        <v>0</v>
      </c>
      <c r="E17" s="723"/>
      <c r="F17" s="726"/>
      <c r="G17" s="726"/>
      <c r="H17" s="654"/>
      <c r="I17" s="657"/>
      <c r="J17" s="654"/>
      <c r="K17" s="657"/>
      <c r="L17" s="654"/>
      <c r="M17" s="657">
        <v>31</v>
      </c>
      <c r="N17" s="714"/>
      <c r="O17" s="711" t="s">
        <v>31</v>
      </c>
      <c r="P17" s="646" t="s">
        <v>31</v>
      </c>
      <c r="Q17" s="1002">
        <f>R16-Q5</f>
        <v>27700.400000000001</v>
      </c>
      <c r="R17" s="1001"/>
      <c r="S17" s="1009"/>
      <c r="T17" s="1002">
        <f>U16-Q5</f>
        <v>27700.400000000001</v>
      </c>
      <c r="U17" s="1001"/>
      <c r="V17" s="642">
        <f t="shared" si="3"/>
        <v>7</v>
      </c>
    </row>
    <row r="18" spans="1:22" ht="15.75" thickBot="1" x14ac:dyDescent="0.3">
      <c r="A18" s="651">
        <v>44578</v>
      </c>
      <c r="B18" s="657" t="str">
        <f t="shared" si="0"/>
        <v>Po</v>
      </c>
      <c r="C18" s="748">
        <f t="shared" si="1"/>
        <v>0</v>
      </c>
      <c r="D18" s="837">
        <f t="shared" si="2"/>
        <v>0</v>
      </c>
      <c r="E18" s="723"/>
      <c r="F18" s="726"/>
      <c r="G18" s="726"/>
      <c r="H18" s="654"/>
      <c r="I18" s="657"/>
      <c r="J18" s="654"/>
      <c r="K18" s="657"/>
      <c r="L18" s="654"/>
      <c r="M18" s="657">
        <v>31</v>
      </c>
      <c r="N18" s="714"/>
      <c r="O18" s="738">
        <v>750</v>
      </c>
      <c r="P18" s="747">
        <v>750</v>
      </c>
      <c r="Q18" s="1001"/>
      <c r="R18" s="1001"/>
      <c r="S18" s="1008"/>
      <c r="T18" s="1001"/>
      <c r="U18" s="1001"/>
      <c r="V18" s="642">
        <f t="shared" si="3"/>
        <v>1</v>
      </c>
    </row>
    <row r="19" spans="1:22" ht="15.75" thickBot="1" x14ac:dyDescent="0.3">
      <c r="A19" s="651">
        <v>44579</v>
      </c>
      <c r="B19" s="657" t="str">
        <f t="shared" si="0"/>
        <v>Út</v>
      </c>
      <c r="C19" s="748">
        <f t="shared" si="1"/>
        <v>0</v>
      </c>
      <c r="D19" s="837">
        <f t="shared" si="2"/>
        <v>0</v>
      </c>
      <c r="E19" s="723"/>
      <c r="F19" s="726"/>
      <c r="G19" s="726"/>
      <c r="H19" s="654"/>
      <c r="I19" s="657"/>
      <c r="J19" s="654"/>
      <c r="K19" s="657"/>
      <c r="L19" s="654"/>
      <c r="M19" s="657">
        <v>31</v>
      </c>
      <c r="N19" s="714"/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3"/>
        <v>2</v>
      </c>
    </row>
    <row r="20" spans="1:22" ht="15.75" thickBot="1" x14ac:dyDescent="0.3">
      <c r="A20" s="651">
        <v>44580</v>
      </c>
      <c r="B20" s="657" t="str">
        <f t="shared" si="0"/>
        <v>St</v>
      </c>
      <c r="C20" s="748">
        <f t="shared" si="1"/>
        <v>0</v>
      </c>
      <c r="D20" s="837">
        <f t="shared" si="2"/>
        <v>0</v>
      </c>
      <c r="E20" s="724"/>
      <c r="F20" s="726"/>
      <c r="G20" s="727"/>
      <c r="H20" s="654"/>
      <c r="I20" s="657"/>
      <c r="J20" s="654"/>
      <c r="K20" s="657"/>
      <c r="L20" s="654"/>
      <c r="M20" s="657">
        <v>31</v>
      </c>
      <c r="N20" s="714"/>
      <c r="O20" s="738">
        <v>0</v>
      </c>
      <c r="P20" s="747">
        <v>0</v>
      </c>
      <c r="Q20" s="1001"/>
      <c r="R20" s="1001"/>
      <c r="S20" s="1008"/>
      <c r="T20" s="1001"/>
      <c r="U20" s="1001"/>
      <c r="V20" s="642">
        <f t="shared" si="3"/>
        <v>3</v>
      </c>
    </row>
    <row r="21" spans="1:22" ht="15.75" thickBot="1" x14ac:dyDescent="0.3">
      <c r="A21" s="651">
        <v>44581</v>
      </c>
      <c r="B21" s="657" t="str">
        <f t="shared" si="0"/>
        <v>Čt</v>
      </c>
      <c r="C21" s="748">
        <f t="shared" si="1"/>
        <v>0</v>
      </c>
      <c r="D21" s="837">
        <f t="shared" si="2"/>
        <v>0</v>
      </c>
      <c r="E21" s="724"/>
      <c r="F21" s="726"/>
      <c r="G21" s="727"/>
      <c r="H21" s="654"/>
      <c r="I21" s="657"/>
      <c r="J21" s="654"/>
      <c r="K21" s="657"/>
      <c r="L21" s="654"/>
      <c r="M21" s="657">
        <v>31</v>
      </c>
      <c r="N21" s="714"/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3"/>
        <v>4</v>
      </c>
    </row>
    <row r="22" spans="1:22" ht="15.75" thickBot="1" x14ac:dyDescent="0.3">
      <c r="A22" s="651">
        <v>44582</v>
      </c>
      <c r="B22" s="657" t="str">
        <f t="shared" si="0"/>
        <v>Pá</v>
      </c>
      <c r="C22" s="748">
        <f t="shared" si="1"/>
        <v>0</v>
      </c>
      <c r="D22" s="837">
        <f t="shared" si="2"/>
        <v>0</v>
      </c>
      <c r="E22" s="724"/>
      <c r="F22" s="726"/>
      <c r="G22" s="727"/>
      <c r="H22" s="654"/>
      <c r="I22" s="657"/>
      <c r="J22" s="654"/>
      <c r="K22" s="657"/>
      <c r="L22" s="654"/>
      <c r="M22" s="657">
        <v>31</v>
      </c>
      <c r="N22" s="714"/>
      <c r="O22" s="738">
        <v>0</v>
      </c>
      <c r="P22" s="747">
        <v>0</v>
      </c>
      <c r="Q22" s="1001"/>
      <c r="R22" s="1017"/>
      <c r="S22" s="718"/>
      <c r="T22" s="1001"/>
      <c r="U22" s="1001"/>
      <c r="V22" s="642">
        <f t="shared" si="3"/>
        <v>5</v>
      </c>
    </row>
    <row r="23" spans="1:22" ht="15.75" thickBot="1" x14ac:dyDescent="0.3">
      <c r="A23" s="651">
        <v>44583</v>
      </c>
      <c r="B23" s="657" t="str">
        <f t="shared" si="0"/>
        <v>So</v>
      </c>
      <c r="C23" s="748">
        <f t="shared" si="1"/>
        <v>0</v>
      </c>
      <c r="D23" s="837">
        <f t="shared" si="2"/>
        <v>0</v>
      </c>
      <c r="E23" s="724"/>
      <c r="F23" s="726"/>
      <c r="G23" s="727"/>
      <c r="H23" s="654"/>
      <c r="I23" s="657"/>
      <c r="J23" s="654"/>
      <c r="K23" s="657"/>
      <c r="L23" s="654"/>
      <c r="M23" s="657">
        <v>31</v>
      </c>
      <c r="N23" s="714"/>
      <c r="O23" s="897" t="s">
        <v>364</v>
      </c>
      <c r="P23" s="895" t="s">
        <v>363</v>
      </c>
      <c r="Q23" s="1015">
        <f>Q17-P24</f>
        <v>5511.4000000000015</v>
      </c>
      <c r="R23" s="1018"/>
      <c r="S23" s="1015">
        <f>T17-P24</f>
        <v>5511.4000000000015</v>
      </c>
      <c r="T23" s="1001"/>
      <c r="U23" s="1001"/>
      <c r="V23" s="642">
        <f t="shared" si="3"/>
        <v>6</v>
      </c>
    </row>
    <row r="24" spans="1:22" ht="15.75" thickBot="1" x14ac:dyDescent="0.3">
      <c r="A24" s="651">
        <v>44584</v>
      </c>
      <c r="B24" s="657" t="str">
        <f t="shared" si="0"/>
        <v>Ne</v>
      </c>
      <c r="C24" s="748">
        <f t="shared" si="1"/>
        <v>0</v>
      </c>
      <c r="D24" s="837">
        <f t="shared" si="2"/>
        <v>0</v>
      </c>
      <c r="E24" s="724"/>
      <c r="F24" s="726"/>
      <c r="G24" s="727"/>
      <c r="H24" s="654"/>
      <c r="I24" s="657"/>
      <c r="J24" s="654"/>
      <c r="K24" s="657"/>
      <c r="L24" s="654"/>
      <c r="M24" s="657">
        <v>31</v>
      </c>
      <c r="N24" s="714"/>
      <c r="O24" s="898">
        <f>P12-Q5</f>
        <v>5511.4000000000015</v>
      </c>
      <c r="P24" s="747">
        <f>O26-O28</f>
        <v>22189</v>
      </c>
      <c r="Q24" s="1020"/>
      <c r="R24" s="1019"/>
      <c r="S24" s="1006"/>
      <c r="T24" s="1006"/>
      <c r="U24" s="1006"/>
      <c r="V24" s="642">
        <f t="shared" si="3"/>
        <v>7</v>
      </c>
    </row>
    <row r="25" spans="1:22" ht="15.75" thickBot="1" x14ac:dyDescent="0.3">
      <c r="A25" s="651">
        <v>44585</v>
      </c>
      <c r="B25" s="657" t="str">
        <f t="shared" si="0"/>
        <v>Po</v>
      </c>
      <c r="C25" s="748">
        <f t="shared" si="1"/>
        <v>0</v>
      </c>
      <c r="D25" s="837">
        <f t="shared" si="2"/>
        <v>0</v>
      </c>
      <c r="E25" s="724"/>
      <c r="F25" s="726"/>
      <c r="G25" s="727"/>
      <c r="H25" s="654"/>
      <c r="I25" s="657"/>
      <c r="J25" s="654"/>
      <c r="K25" s="657"/>
      <c r="L25" s="654"/>
      <c r="M25" s="657">
        <v>31</v>
      </c>
      <c r="N25" s="714"/>
      <c r="O25" s="711" t="s">
        <v>372</v>
      </c>
      <c r="P25" s="646"/>
      <c r="Q25" s="718"/>
      <c r="R25" s="718"/>
      <c r="S25" s="718"/>
      <c r="T25" s="718"/>
      <c r="U25" s="718"/>
      <c r="V25" s="642">
        <f t="shared" si="3"/>
        <v>1</v>
      </c>
    </row>
    <row r="26" spans="1:22" ht="15.75" thickBot="1" x14ac:dyDescent="0.3">
      <c r="A26" s="651">
        <v>44586</v>
      </c>
      <c r="B26" s="657" t="str">
        <f t="shared" si="0"/>
        <v>Út</v>
      </c>
      <c r="C26" s="748">
        <f t="shared" si="1"/>
        <v>0</v>
      </c>
      <c r="D26" s="837">
        <f t="shared" si="2"/>
        <v>0</v>
      </c>
      <c r="E26" s="724"/>
      <c r="F26" s="726"/>
      <c r="G26" s="727"/>
      <c r="H26" s="654"/>
      <c r="I26" s="657"/>
      <c r="J26" s="654"/>
      <c r="K26" s="657"/>
      <c r="L26" s="654"/>
      <c r="M26" s="657">
        <v>31</v>
      </c>
      <c r="N26" s="714"/>
      <c r="O26" s="738">
        <v>37335</v>
      </c>
      <c r="P26" s="747"/>
      <c r="Q26" s="718"/>
      <c r="R26" s="718"/>
      <c r="S26" s="718"/>
      <c r="T26" s="718"/>
      <c r="U26" s="718"/>
      <c r="V26" s="642">
        <f t="shared" si="3"/>
        <v>2</v>
      </c>
    </row>
    <row r="27" spans="1:22" ht="15.75" thickBot="1" x14ac:dyDescent="0.3">
      <c r="A27" s="651">
        <v>44587</v>
      </c>
      <c r="B27" s="657" t="str">
        <f t="shared" si="0"/>
        <v>St</v>
      </c>
      <c r="C27" s="748">
        <f t="shared" si="1"/>
        <v>0</v>
      </c>
      <c r="D27" s="837">
        <f t="shared" si="2"/>
        <v>0</v>
      </c>
      <c r="E27" s="724"/>
      <c r="F27" s="726"/>
      <c r="G27" s="727"/>
      <c r="H27" s="654"/>
      <c r="I27" s="657"/>
      <c r="J27" s="654"/>
      <c r="K27" s="657"/>
      <c r="L27" s="654"/>
      <c r="M27" s="657">
        <v>31</v>
      </c>
      <c r="N27" s="714"/>
      <c r="O27" s="711" t="s">
        <v>373</v>
      </c>
      <c r="P27" s="646"/>
      <c r="Q27" s="718"/>
      <c r="R27" s="718"/>
      <c r="S27" s="718"/>
      <c r="T27" s="718"/>
      <c r="U27" s="718"/>
      <c r="V27" s="642">
        <f t="shared" si="3"/>
        <v>3</v>
      </c>
    </row>
    <row r="28" spans="1:22" ht="15.75" thickBot="1" x14ac:dyDescent="0.3">
      <c r="A28" s="651">
        <v>44588</v>
      </c>
      <c r="B28" s="657" t="str">
        <f t="shared" si="0"/>
        <v>Čt</v>
      </c>
      <c r="C28" s="748">
        <f t="shared" si="1"/>
        <v>0</v>
      </c>
      <c r="D28" s="837">
        <f t="shared" si="2"/>
        <v>0</v>
      </c>
      <c r="E28" s="724"/>
      <c r="F28" s="726"/>
      <c r="G28" s="727"/>
      <c r="H28" s="654"/>
      <c r="I28" s="657"/>
      <c r="J28" s="654"/>
      <c r="K28" s="657"/>
      <c r="L28" s="654"/>
      <c r="M28" s="657">
        <v>31</v>
      </c>
      <c r="N28" s="714"/>
      <c r="O28" s="738">
        <f>'12hod21'!O26</f>
        <v>15146</v>
      </c>
      <c r="P28" s="646"/>
      <c r="Q28" s="718"/>
      <c r="R28" s="718"/>
      <c r="S28" s="718"/>
      <c r="T28" s="718"/>
      <c r="U28" s="718"/>
      <c r="V28" s="642">
        <f t="shared" si="3"/>
        <v>4</v>
      </c>
    </row>
    <row r="29" spans="1:22" ht="15.75" thickBot="1" x14ac:dyDescent="0.3">
      <c r="A29" s="651">
        <v>44589</v>
      </c>
      <c r="B29" s="657" t="str">
        <f t="shared" si="0"/>
        <v>Pá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/>
      <c r="I29" s="657"/>
      <c r="J29" s="654"/>
      <c r="K29" s="657"/>
      <c r="L29" s="654"/>
      <c r="M29" s="657">
        <v>31</v>
      </c>
      <c r="N29" s="714"/>
      <c r="O29" s="712"/>
      <c r="P29" s="648"/>
      <c r="Q29" s="718"/>
      <c r="R29" s="718"/>
      <c r="S29" s="718"/>
      <c r="T29" s="718"/>
      <c r="U29" s="718"/>
      <c r="V29" s="642">
        <f t="shared" si="3"/>
        <v>5</v>
      </c>
    </row>
    <row r="30" spans="1:22" ht="15.75" thickBot="1" x14ac:dyDescent="0.3">
      <c r="A30" s="651">
        <v>44590</v>
      </c>
      <c r="B30" s="657" t="str">
        <f t="shared" si="0"/>
        <v>So</v>
      </c>
      <c r="C30" s="748">
        <f t="shared" si="1"/>
        <v>0</v>
      </c>
      <c r="D30" s="837">
        <f t="shared" si="2"/>
        <v>0</v>
      </c>
      <c r="E30" s="724"/>
      <c r="F30" s="726"/>
      <c r="G30" s="727"/>
      <c r="H30" s="654"/>
      <c r="I30" s="657"/>
      <c r="J30" s="654"/>
      <c r="K30" s="657"/>
      <c r="L30" s="654"/>
      <c r="M30" s="657">
        <v>31</v>
      </c>
      <c r="N30" s="714"/>
      <c r="O30" s="715"/>
      <c r="P30" s="720"/>
      <c r="Q30" s="718"/>
      <c r="R30" s="718"/>
      <c r="S30" s="718"/>
      <c r="T30" s="718"/>
      <c r="U30" s="718"/>
      <c r="V30" s="642">
        <f t="shared" si="3"/>
        <v>6</v>
      </c>
    </row>
    <row r="31" spans="1:22" ht="15.75" thickBot="1" x14ac:dyDescent="0.3">
      <c r="A31" s="651">
        <v>44591</v>
      </c>
      <c r="B31" s="657" t="str">
        <f t="shared" si="0"/>
        <v>Ne</v>
      </c>
      <c r="C31" s="748">
        <f t="shared" si="1"/>
        <v>0</v>
      </c>
      <c r="D31" s="837">
        <f t="shared" si="2"/>
        <v>0</v>
      </c>
      <c r="E31" s="724"/>
      <c r="F31" s="726"/>
      <c r="G31" s="727"/>
      <c r="H31" s="654"/>
      <c r="I31" s="657"/>
      <c r="J31" s="654"/>
      <c r="K31" s="657"/>
      <c r="L31" s="654"/>
      <c r="M31" s="657">
        <v>31</v>
      </c>
      <c r="N31" s="714"/>
      <c r="O31" s="649"/>
      <c r="P31" s="646"/>
      <c r="Q31" s="718"/>
      <c r="R31" s="718"/>
      <c r="S31" s="718"/>
      <c r="T31" s="718"/>
      <c r="U31" s="718"/>
      <c r="V31" s="642">
        <f t="shared" si="3"/>
        <v>7</v>
      </c>
    </row>
    <row r="32" spans="1:22" ht="15.75" thickBot="1" x14ac:dyDescent="0.3">
      <c r="A32" s="651">
        <v>44592</v>
      </c>
      <c r="B32" s="657" t="str">
        <f t="shared" si="0"/>
        <v>Po</v>
      </c>
      <c r="C32" s="748">
        <f t="shared" si="1"/>
        <v>0</v>
      </c>
      <c r="D32" s="837">
        <f t="shared" si="2"/>
        <v>0</v>
      </c>
      <c r="E32" s="724"/>
      <c r="F32" s="726"/>
      <c r="G32" s="727"/>
      <c r="H32" s="654"/>
      <c r="I32" s="657"/>
      <c r="J32" s="654"/>
      <c r="K32" s="657"/>
      <c r="L32" s="654"/>
      <c r="M32" s="657">
        <v>31</v>
      </c>
      <c r="N32" s="714"/>
      <c r="O32" s="649"/>
      <c r="P32" s="646"/>
      <c r="Q32" s="718"/>
      <c r="R32" s="718"/>
      <c r="S32" s="718"/>
      <c r="T32" s="718"/>
      <c r="U32" s="718"/>
      <c r="V32" s="642">
        <f t="shared" si="3"/>
        <v>1</v>
      </c>
    </row>
    <row r="33" spans="1:22" ht="15.75" thickBot="1" x14ac:dyDescent="0.3">
      <c r="A33" s="651">
        <v>44593</v>
      </c>
      <c r="B33" s="657" t="str">
        <f t="shared" si="0"/>
        <v>Út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/>
      <c r="I33" s="657"/>
      <c r="J33" s="654"/>
      <c r="K33" s="657"/>
      <c r="L33" s="654"/>
      <c r="M33" s="657">
        <v>31</v>
      </c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2</v>
      </c>
    </row>
    <row r="34" spans="1:22" ht="15.75" thickBot="1" x14ac:dyDescent="0.3">
      <c r="A34" s="651">
        <v>44594</v>
      </c>
      <c r="B34" s="657" t="str">
        <f t="shared" si="0"/>
        <v>St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/>
      <c r="I34" s="657"/>
      <c r="J34" s="654"/>
      <c r="K34" s="657"/>
      <c r="L34" s="654"/>
      <c r="M34" s="657">
        <v>31</v>
      </c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5">WEEKDAY(A34,2)</f>
        <v>3</v>
      </c>
    </row>
    <row r="35" spans="1:22" ht="15.75" thickBot="1" x14ac:dyDescent="0.3">
      <c r="A35" s="651">
        <v>44595</v>
      </c>
      <c r="B35" s="658" t="str">
        <f t="shared" si="0"/>
        <v>Čt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5"/>
      <c r="I35" s="658"/>
      <c r="J35" s="655"/>
      <c r="K35" s="658"/>
      <c r="L35" s="655"/>
      <c r="M35" s="658">
        <v>31</v>
      </c>
      <c r="N35" s="709"/>
      <c r="O35" s="652"/>
      <c r="P35" s="648"/>
      <c r="Q35" s="718"/>
      <c r="R35" s="718"/>
      <c r="S35" s="718"/>
      <c r="T35" s="718"/>
      <c r="U35" s="718"/>
      <c r="V35" s="642">
        <f t="shared" si="5"/>
        <v>4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8.0416666666666679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944C62-B620-4C49-848B-2240F8E6C051}">
  <dimension ref="A1:AE45"/>
  <sheetViews>
    <sheetView topLeftCell="S4" zoomScaleNormal="60" zoomScaleSheetLayoutView="100" workbookViewId="0">
      <selection activeCell="AB37" sqref="AB37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44593</v>
      </c>
      <c r="B2" s="656" t="str">
        <f t="shared" ref="B2:B35" si="0">CHOOSE(WEEKDAY(V2),"Po","Út","St","Čt","Pá","So","Ne")</f>
        <v>Út</v>
      </c>
      <c r="C2" s="748">
        <f t="shared" ref="C2:C35" si="1">G2-E2-F2</f>
        <v>0.50000000000000011</v>
      </c>
      <c r="D2" s="836">
        <f t="shared" ref="D2:D35" si="2">(N2*C2)*24</f>
        <v>0</v>
      </c>
      <c r="E2" s="723">
        <v>0.29166666666666669</v>
      </c>
      <c r="F2" s="726">
        <f>TIME(1,0,0)</f>
        <v>4.1666666666666664E-2</v>
      </c>
      <c r="G2" s="726">
        <v>0.83333333333333337</v>
      </c>
      <c r="H2" s="876"/>
      <c r="I2" s="656"/>
      <c r="J2" s="653"/>
      <c r="K2" s="656"/>
      <c r="L2" s="653"/>
      <c r="M2" s="656">
        <v>34</v>
      </c>
      <c r="N2" s="713"/>
      <c r="O2" s="834">
        <f>(O4+O6)</f>
        <v>137.50000000000003</v>
      </c>
      <c r="P2" s="716">
        <f t="shared" ref="P2" si="3">P4+P6</f>
        <v>137.5</v>
      </c>
      <c r="Q2" s="853">
        <f>'01hod22'!Q5</f>
        <v>24222</v>
      </c>
      <c r="R2" s="644" t="s">
        <v>17</v>
      </c>
      <c r="S2" s="644" t="str">
        <f>'01hod22'!S5</f>
        <v>Výplata za Leden</v>
      </c>
      <c r="T2" s="875">
        <f>'01hod22'!T5</f>
        <v>44608</v>
      </c>
      <c r="U2" s="722">
        <f>T7*20</f>
        <v>0</v>
      </c>
      <c r="V2" s="642">
        <f t="shared" ref="V2:V32" si="4">WEEKDAY(A2,2)</f>
        <v>2</v>
      </c>
    </row>
    <row r="3" spans="1:22" ht="15.75" thickBot="1" x14ac:dyDescent="0.3">
      <c r="A3" s="651">
        <v>44594</v>
      </c>
      <c r="B3" s="657" t="str">
        <f t="shared" si="0"/>
        <v>St</v>
      </c>
      <c r="C3" s="748">
        <f t="shared" si="1"/>
        <v>0</v>
      </c>
      <c r="D3" s="837">
        <f t="shared" si="2"/>
        <v>0</v>
      </c>
      <c r="E3" s="723"/>
      <c r="F3" s="726"/>
      <c r="G3" s="726"/>
      <c r="H3" s="654"/>
      <c r="I3" s="657"/>
      <c r="J3" s="654"/>
      <c r="K3" s="657"/>
      <c r="L3" s="654"/>
      <c r="M3" s="657"/>
      <c r="N3" s="714"/>
      <c r="O3" s="711" t="s">
        <v>19</v>
      </c>
      <c r="P3" s="717" t="s">
        <v>19</v>
      </c>
      <c r="Q3" s="738">
        <v>0</v>
      </c>
      <c r="R3" s="611" t="s">
        <v>48</v>
      </c>
      <c r="S3" s="611" t="s">
        <v>48</v>
      </c>
      <c r="T3" s="874">
        <v>44551</v>
      </c>
      <c r="U3" s="718"/>
      <c r="V3" s="642">
        <f t="shared" si="4"/>
        <v>3</v>
      </c>
    </row>
    <row r="4" spans="1:22" ht="15.75" thickBot="1" x14ac:dyDescent="0.3">
      <c r="A4" s="651">
        <v>44595</v>
      </c>
      <c r="B4" s="657" t="str">
        <f t="shared" si="0"/>
        <v>Čt</v>
      </c>
      <c r="C4" s="748">
        <f t="shared" si="1"/>
        <v>0</v>
      </c>
      <c r="D4" s="837">
        <f t="shared" si="2"/>
        <v>0</v>
      </c>
      <c r="E4" s="723"/>
      <c r="F4" s="726"/>
      <c r="G4" s="726"/>
      <c r="H4" s="654"/>
      <c r="I4" s="657"/>
      <c r="J4" s="654"/>
      <c r="K4" s="657"/>
      <c r="L4" s="654"/>
      <c r="M4" s="657"/>
      <c r="N4" s="714"/>
      <c r="O4" s="835">
        <f>O40*24</f>
        <v>137.50000000000003</v>
      </c>
      <c r="P4" s="717">
        <v>137.5</v>
      </c>
      <c r="Q4" s="738">
        <v>0</v>
      </c>
      <c r="R4" s="611" t="s">
        <v>17</v>
      </c>
      <c r="S4" s="611" t="s">
        <v>210</v>
      </c>
      <c r="T4" s="646"/>
      <c r="U4" s="718"/>
      <c r="V4" s="642">
        <f t="shared" si="4"/>
        <v>4</v>
      </c>
    </row>
    <row r="5" spans="1:22" ht="15.75" thickBot="1" x14ac:dyDescent="0.3">
      <c r="A5" s="651">
        <v>44596</v>
      </c>
      <c r="B5" s="657" t="str">
        <f t="shared" si="0"/>
        <v>Pá</v>
      </c>
      <c r="C5" s="748">
        <f t="shared" si="1"/>
        <v>0</v>
      </c>
      <c r="D5" s="837">
        <f t="shared" si="2"/>
        <v>0</v>
      </c>
      <c r="E5" s="723"/>
      <c r="F5" s="726"/>
      <c r="G5" s="727"/>
      <c r="H5" s="654"/>
      <c r="I5" s="657"/>
      <c r="J5" s="654"/>
      <c r="K5" s="657"/>
      <c r="L5" s="654"/>
      <c r="M5" s="657"/>
      <c r="N5" s="714"/>
      <c r="O5" s="711" t="s">
        <v>14</v>
      </c>
      <c r="P5" s="717" t="s">
        <v>14</v>
      </c>
      <c r="Q5" s="738">
        <v>37551</v>
      </c>
      <c r="R5" s="611" t="s">
        <v>17</v>
      </c>
      <c r="S5" s="611" t="s">
        <v>310</v>
      </c>
      <c r="T5" s="874">
        <v>44636</v>
      </c>
      <c r="U5" s="718"/>
      <c r="V5" s="642">
        <f t="shared" si="4"/>
        <v>5</v>
      </c>
    </row>
    <row r="6" spans="1:22" ht="15.75" thickBot="1" x14ac:dyDescent="0.3">
      <c r="A6" s="651">
        <v>44597</v>
      </c>
      <c r="B6" s="657" t="str">
        <f t="shared" si="0"/>
        <v>So</v>
      </c>
      <c r="C6" s="748">
        <f t="shared" si="1"/>
        <v>0</v>
      </c>
      <c r="D6" s="837">
        <f t="shared" si="2"/>
        <v>0</v>
      </c>
      <c r="E6" s="724"/>
      <c r="F6" s="726"/>
      <c r="G6" s="727"/>
      <c r="H6" s="654"/>
      <c r="I6" s="657"/>
      <c r="J6" s="654"/>
      <c r="K6" s="657"/>
      <c r="L6" s="654"/>
      <c r="M6" s="657"/>
      <c r="N6" s="714"/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4"/>
        <v>6</v>
      </c>
    </row>
    <row r="7" spans="1:22" ht="15.75" thickBot="1" x14ac:dyDescent="0.3">
      <c r="A7" s="651">
        <v>44598</v>
      </c>
      <c r="B7" s="657" t="str">
        <f t="shared" si="0"/>
        <v>Ne</v>
      </c>
      <c r="C7" s="748">
        <f t="shared" si="1"/>
        <v>0</v>
      </c>
      <c r="D7" s="837">
        <f t="shared" si="2"/>
        <v>0</v>
      </c>
      <c r="E7" s="723"/>
      <c r="F7" s="726"/>
      <c r="G7" s="726"/>
      <c r="H7" s="654"/>
      <c r="I7" s="657"/>
      <c r="J7" s="654"/>
      <c r="K7" s="657"/>
      <c r="L7" s="654"/>
      <c r="M7" s="657"/>
      <c r="N7" s="714"/>
      <c r="O7" s="711" t="s">
        <v>20</v>
      </c>
      <c r="P7" s="646" t="s">
        <v>20</v>
      </c>
      <c r="Q7" s="721">
        <f>Q3+Q4</f>
        <v>0</v>
      </c>
      <c r="R7" s="718"/>
      <c r="S7" s="718"/>
      <c r="T7" s="718"/>
      <c r="U7" s="718"/>
      <c r="V7" s="642">
        <f t="shared" si="4"/>
        <v>7</v>
      </c>
    </row>
    <row r="8" spans="1:22" ht="15.75" thickBot="1" x14ac:dyDescent="0.3">
      <c r="A8" s="651">
        <v>44599</v>
      </c>
      <c r="B8" s="657" t="str">
        <f t="shared" si="0"/>
        <v>Po</v>
      </c>
      <c r="C8" s="748">
        <f t="shared" si="1"/>
        <v>0</v>
      </c>
      <c r="D8" s="837">
        <f t="shared" si="2"/>
        <v>0</v>
      </c>
      <c r="E8" s="723"/>
      <c r="F8" s="726"/>
      <c r="G8" s="726"/>
      <c r="H8" s="654"/>
      <c r="I8" s="657"/>
      <c r="J8" s="654"/>
      <c r="K8" s="657"/>
      <c r="L8" s="654"/>
      <c r="M8" s="657"/>
      <c r="N8" s="714"/>
      <c r="O8" s="711" t="s">
        <v>22</v>
      </c>
      <c r="P8" s="646" t="s">
        <v>22</v>
      </c>
      <c r="Q8" s="657" t="s">
        <v>480</v>
      </c>
      <c r="R8" s="718"/>
      <c r="S8" s="718"/>
      <c r="T8" s="718"/>
      <c r="U8" s="718"/>
      <c r="V8" s="642">
        <f t="shared" si="4"/>
        <v>1</v>
      </c>
    </row>
    <row r="9" spans="1:22" ht="15.75" thickBot="1" x14ac:dyDescent="0.3">
      <c r="A9" s="651">
        <v>44600</v>
      </c>
      <c r="B9" s="657" t="str">
        <f t="shared" si="0"/>
        <v>Út</v>
      </c>
      <c r="C9" s="748">
        <f t="shared" si="1"/>
        <v>0</v>
      </c>
      <c r="D9" s="837">
        <f t="shared" si="2"/>
        <v>0</v>
      </c>
      <c r="E9" s="723"/>
      <c r="F9" s="726"/>
      <c r="G9" s="726"/>
      <c r="H9" s="654"/>
      <c r="I9" s="657"/>
      <c r="J9" s="654"/>
      <c r="K9" s="657"/>
      <c r="L9" s="654"/>
      <c r="M9" s="657"/>
      <c r="N9" s="714"/>
      <c r="O9" s="711" t="s">
        <v>23</v>
      </c>
      <c r="P9" s="646" t="s">
        <v>23</v>
      </c>
      <c r="Q9" s="657">
        <f>SUM(Q2:Q4)</f>
        <v>24222</v>
      </c>
      <c r="R9" s="718"/>
      <c r="S9" s="718"/>
      <c r="T9" s="718"/>
      <c r="U9" s="718"/>
      <c r="V9" s="642">
        <f t="shared" si="4"/>
        <v>2</v>
      </c>
    </row>
    <row r="10" spans="1:22" ht="15.75" thickBot="1" x14ac:dyDescent="0.3">
      <c r="A10" s="651">
        <v>44601</v>
      </c>
      <c r="B10" s="657" t="str">
        <f t="shared" si="0"/>
        <v>St</v>
      </c>
      <c r="C10" s="748">
        <f t="shared" si="1"/>
        <v>0</v>
      </c>
      <c r="D10" s="837">
        <f t="shared" si="2"/>
        <v>0</v>
      </c>
      <c r="E10" s="723"/>
      <c r="F10" s="726"/>
      <c r="G10" s="726"/>
      <c r="H10" s="654"/>
      <c r="I10" s="657"/>
      <c r="J10" s="654"/>
      <c r="K10" s="657"/>
      <c r="L10" s="654"/>
      <c r="M10" s="657"/>
      <c r="N10" s="714"/>
      <c r="O10" s="738">
        <f>(O2*380)+U2</f>
        <v>52250.000000000007</v>
      </c>
      <c r="P10" s="747">
        <f>SUM(P2*380)</f>
        <v>52250</v>
      </c>
      <c r="Q10" s="719"/>
      <c r="R10" s="718"/>
      <c r="S10" s="718"/>
      <c r="T10" s="718"/>
      <c r="U10" s="718"/>
      <c r="V10" s="642">
        <f t="shared" si="4"/>
        <v>3</v>
      </c>
    </row>
    <row r="11" spans="1:22" ht="15.75" thickBot="1" x14ac:dyDescent="0.3">
      <c r="A11" s="651">
        <v>44602</v>
      </c>
      <c r="B11" s="657" t="str">
        <f t="shared" si="0"/>
        <v>Čt</v>
      </c>
      <c r="C11" s="748">
        <f t="shared" si="1"/>
        <v>0</v>
      </c>
      <c r="D11" s="837">
        <f t="shared" si="2"/>
        <v>0</v>
      </c>
      <c r="E11" s="723"/>
      <c r="F11" s="726"/>
      <c r="G11" s="726"/>
      <c r="H11" s="654"/>
      <c r="I11" s="657"/>
      <c r="J11" s="654"/>
      <c r="K11" s="657"/>
      <c r="L11" s="654"/>
      <c r="M11" s="657"/>
      <c r="N11" s="714"/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4"/>
        <v>4</v>
      </c>
    </row>
    <row r="12" spans="1:22" ht="15.75" thickBot="1" x14ac:dyDescent="0.3">
      <c r="A12" s="651">
        <v>44603</v>
      </c>
      <c r="B12" s="657" t="str">
        <f t="shared" si="0"/>
        <v>Pá</v>
      </c>
      <c r="C12" s="748">
        <f>G12-E12-F12</f>
        <v>0</v>
      </c>
      <c r="D12" s="837">
        <f t="shared" si="2"/>
        <v>0</v>
      </c>
      <c r="E12" s="724"/>
      <c r="F12" s="726"/>
      <c r="G12" s="727"/>
      <c r="H12" s="654"/>
      <c r="I12" s="657"/>
      <c r="J12" s="654"/>
      <c r="K12" s="657"/>
      <c r="L12" s="654"/>
      <c r="M12" s="657"/>
      <c r="N12" s="714"/>
      <c r="O12" s="738">
        <f>(O10+O20+O18-O22)-O14-P24</f>
        <v>43062.000000000007</v>
      </c>
      <c r="P12" s="747">
        <f>(P10+P18+P20-P22)-P14-P24</f>
        <v>43062</v>
      </c>
      <c r="Q12" s="718"/>
      <c r="R12" s="718"/>
      <c r="S12" s="718"/>
      <c r="T12" s="718"/>
      <c r="U12" s="718"/>
      <c r="V12" s="642">
        <f t="shared" si="4"/>
        <v>5</v>
      </c>
    </row>
    <row r="13" spans="1:22" ht="15.75" thickBot="1" x14ac:dyDescent="0.3">
      <c r="A13" s="651">
        <v>44604</v>
      </c>
      <c r="B13" s="657" t="str">
        <f t="shared" si="0"/>
        <v>So</v>
      </c>
      <c r="C13" s="748">
        <f t="shared" si="1"/>
        <v>0</v>
      </c>
      <c r="D13" s="837">
        <f t="shared" si="2"/>
        <v>0</v>
      </c>
      <c r="E13" s="724"/>
      <c r="F13" s="726"/>
      <c r="G13" s="727"/>
      <c r="H13" s="654"/>
      <c r="I13" s="657"/>
      <c r="J13" s="654"/>
      <c r="K13" s="657"/>
      <c r="L13" s="654"/>
      <c r="M13" s="657"/>
      <c r="N13" s="714"/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6</v>
      </c>
    </row>
    <row r="14" spans="1:22" ht="15.75" thickBot="1" x14ac:dyDescent="0.3">
      <c r="A14" s="651">
        <v>44605</v>
      </c>
      <c r="B14" s="657" t="str">
        <f t="shared" si="0"/>
        <v>Ne</v>
      </c>
      <c r="C14" s="748">
        <f t="shared" si="1"/>
        <v>0</v>
      </c>
      <c r="D14" s="837">
        <f t="shared" si="2"/>
        <v>0</v>
      </c>
      <c r="E14" s="723"/>
      <c r="F14" s="726"/>
      <c r="G14" s="726"/>
      <c r="H14" s="654"/>
      <c r="I14" s="657"/>
      <c r="J14" s="654"/>
      <c r="K14" s="657"/>
      <c r="L14" s="654"/>
      <c r="M14" s="657"/>
      <c r="N14" s="714"/>
      <c r="O14" s="738">
        <f>(O16*25)</f>
        <v>5000</v>
      </c>
      <c r="P14" s="747">
        <f>(P16*25)</f>
        <v>5000</v>
      </c>
      <c r="Q14" s="923" t="s">
        <v>458</v>
      </c>
      <c r="R14" s="1004">
        <f>P14+P22-P18</f>
        <v>3788</v>
      </c>
      <c r="S14" s="1007"/>
      <c r="T14" s="923" t="s">
        <v>462</v>
      </c>
      <c r="U14" s="1004">
        <f>P14+P22</f>
        <v>5500</v>
      </c>
      <c r="V14" s="642">
        <f t="shared" si="4"/>
        <v>7</v>
      </c>
    </row>
    <row r="15" spans="1:22" ht="15.75" thickBot="1" x14ac:dyDescent="0.3">
      <c r="A15" s="651">
        <v>44606</v>
      </c>
      <c r="B15" s="657" t="str">
        <f t="shared" si="0"/>
        <v>Po</v>
      </c>
      <c r="C15" s="748">
        <f t="shared" si="1"/>
        <v>0.39583333333333337</v>
      </c>
      <c r="D15" s="837">
        <f t="shared" si="2"/>
        <v>57</v>
      </c>
      <c r="E15" s="723">
        <v>0.33333333333333331</v>
      </c>
      <c r="F15" s="726">
        <f t="shared" ref="F15:F20" si="5">TIME(0,30,0)</f>
        <v>2.0833333333333332E-2</v>
      </c>
      <c r="G15" s="726">
        <v>0.75</v>
      </c>
      <c r="H15" s="654" t="s">
        <v>476</v>
      </c>
      <c r="I15" s="657" t="s">
        <v>481</v>
      </c>
      <c r="J15" s="654" t="s">
        <v>475</v>
      </c>
      <c r="K15" s="657"/>
      <c r="L15" s="654" t="s">
        <v>15</v>
      </c>
      <c r="M15" s="657">
        <v>34</v>
      </c>
      <c r="N15" s="714">
        <v>6</v>
      </c>
      <c r="O15" s="711" t="s">
        <v>29</v>
      </c>
      <c r="P15" s="646" t="s">
        <v>29</v>
      </c>
      <c r="Q15" s="1001" t="s">
        <v>459</v>
      </c>
      <c r="R15" s="1002">
        <f>P10</f>
        <v>52250</v>
      </c>
      <c r="S15" s="1008"/>
      <c r="T15" s="1001" t="s">
        <v>463</v>
      </c>
      <c r="U15" s="1002">
        <f>P10+P18+P20</f>
        <v>53962</v>
      </c>
      <c r="V15" s="642">
        <f t="shared" si="4"/>
        <v>1</v>
      </c>
    </row>
    <row r="16" spans="1:22" ht="15.75" thickBot="1" x14ac:dyDescent="0.3">
      <c r="A16" s="651">
        <v>44607</v>
      </c>
      <c r="B16" s="657" t="str">
        <f t="shared" si="0"/>
        <v>Út</v>
      </c>
      <c r="C16" s="748">
        <f t="shared" si="1"/>
        <v>0.39583333333333337</v>
      </c>
      <c r="D16" s="837">
        <f t="shared" si="2"/>
        <v>57</v>
      </c>
      <c r="E16" s="723">
        <v>0.33333333333333331</v>
      </c>
      <c r="F16" s="726">
        <f t="shared" si="5"/>
        <v>2.0833333333333332E-2</v>
      </c>
      <c r="G16" s="726">
        <v>0.75</v>
      </c>
      <c r="H16" s="654" t="s">
        <v>476</v>
      </c>
      <c r="I16" s="657" t="s">
        <v>481</v>
      </c>
      <c r="J16" s="654" t="s">
        <v>475</v>
      </c>
      <c r="K16" s="657"/>
      <c r="L16" s="654" t="s">
        <v>15</v>
      </c>
      <c r="M16" s="657">
        <v>34</v>
      </c>
      <c r="N16" s="714">
        <v>6</v>
      </c>
      <c r="O16" s="893">
        <f>'02cash22'!O36</f>
        <v>200</v>
      </c>
      <c r="P16" s="894">
        <v>200</v>
      </c>
      <c r="Q16" s="1001"/>
      <c r="R16" s="1003">
        <f>R15-R14</f>
        <v>48462</v>
      </c>
      <c r="S16" s="1008"/>
      <c r="T16" s="1001"/>
      <c r="U16" s="1002">
        <f>U15-U14</f>
        <v>48462</v>
      </c>
      <c r="V16" s="642">
        <f t="shared" si="4"/>
        <v>2</v>
      </c>
    </row>
    <row r="17" spans="1:22" ht="15.75" thickBot="1" x14ac:dyDescent="0.3">
      <c r="A17" s="651">
        <v>44608</v>
      </c>
      <c r="B17" s="657" t="str">
        <f t="shared" si="0"/>
        <v>St</v>
      </c>
      <c r="C17" s="748">
        <f t="shared" si="1"/>
        <v>0.39583333333333337</v>
      </c>
      <c r="D17" s="837">
        <f t="shared" si="2"/>
        <v>57</v>
      </c>
      <c r="E17" s="723">
        <v>0.33333333333333331</v>
      </c>
      <c r="F17" s="726">
        <f t="shared" si="5"/>
        <v>2.0833333333333332E-2</v>
      </c>
      <c r="G17" s="726">
        <v>0.75</v>
      </c>
      <c r="H17" s="654" t="s">
        <v>476</v>
      </c>
      <c r="I17" s="657" t="s">
        <v>481</v>
      </c>
      <c r="J17" s="654" t="s">
        <v>475</v>
      </c>
      <c r="K17" s="657" t="s">
        <v>140</v>
      </c>
      <c r="L17" s="654" t="s">
        <v>15</v>
      </c>
      <c r="M17" s="657">
        <v>34</v>
      </c>
      <c r="N17" s="714">
        <v>6</v>
      </c>
      <c r="O17" s="711" t="s">
        <v>31</v>
      </c>
      <c r="P17" s="646" t="s">
        <v>31</v>
      </c>
      <c r="Q17" s="1002">
        <f>R16-Q5</f>
        <v>10911</v>
      </c>
      <c r="R17" s="1001"/>
      <c r="S17" s="1009"/>
      <c r="T17" s="1002">
        <f>U16-Q5</f>
        <v>10911</v>
      </c>
      <c r="U17" s="1001"/>
      <c r="V17" s="642">
        <f t="shared" si="4"/>
        <v>3</v>
      </c>
    </row>
    <row r="18" spans="1:22" ht="15.75" thickBot="1" x14ac:dyDescent="0.3">
      <c r="A18" s="651">
        <v>44609</v>
      </c>
      <c r="B18" s="657" t="str">
        <f t="shared" si="0"/>
        <v>Čt</v>
      </c>
      <c r="C18" s="748">
        <f t="shared" si="1"/>
        <v>0.39583333333333337</v>
      </c>
      <c r="D18" s="837">
        <f t="shared" si="2"/>
        <v>57</v>
      </c>
      <c r="E18" s="723">
        <v>0.33333333333333331</v>
      </c>
      <c r="F18" s="726">
        <f t="shared" si="5"/>
        <v>2.0833333333333332E-2</v>
      </c>
      <c r="G18" s="726">
        <v>0.75</v>
      </c>
      <c r="H18" s="654" t="s">
        <v>476</v>
      </c>
      <c r="I18" s="657" t="s">
        <v>481</v>
      </c>
      <c r="J18" s="654" t="s">
        <v>475</v>
      </c>
      <c r="K18" s="657"/>
      <c r="L18" s="654" t="s">
        <v>15</v>
      </c>
      <c r="M18" s="657">
        <v>34</v>
      </c>
      <c r="N18" s="714">
        <v>6</v>
      </c>
      <c r="O18" s="738">
        <v>1712</v>
      </c>
      <c r="P18" s="747">
        <v>1712</v>
      </c>
      <c r="Q18" s="1001"/>
      <c r="R18" s="1001"/>
      <c r="S18" s="1008"/>
      <c r="T18" s="1001"/>
      <c r="U18" s="1001"/>
      <c r="V18" s="642">
        <f t="shared" si="4"/>
        <v>4</v>
      </c>
    </row>
    <row r="19" spans="1:22" ht="15.75" thickBot="1" x14ac:dyDescent="0.3">
      <c r="A19" s="651">
        <v>44610</v>
      </c>
      <c r="B19" s="657" t="str">
        <f t="shared" si="0"/>
        <v>Pá</v>
      </c>
      <c r="C19" s="748">
        <f t="shared" si="1"/>
        <v>0.39583333333333337</v>
      </c>
      <c r="D19" s="837">
        <f t="shared" si="2"/>
        <v>57</v>
      </c>
      <c r="E19" s="723">
        <v>0.33333333333333331</v>
      </c>
      <c r="F19" s="726">
        <f t="shared" si="5"/>
        <v>2.0833333333333332E-2</v>
      </c>
      <c r="G19" s="726">
        <v>0.75</v>
      </c>
      <c r="H19" s="654" t="s">
        <v>476</v>
      </c>
      <c r="I19" s="657" t="s">
        <v>481</v>
      </c>
      <c r="J19" s="654" t="s">
        <v>475</v>
      </c>
      <c r="K19" s="657"/>
      <c r="L19" s="654" t="s">
        <v>15</v>
      </c>
      <c r="M19" s="657">
        <v>34</v>
      </c>
      <c r="N19" s="714">
        <v>6</v>
      </c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4"/>
        <v>5</v>
      </c>
    </row>
    <row r="20" spans="1:22" ht="15.75" thickBot="1" x14ac:dyDescent="0.3">
      <c r="A20" s="651">
        <v>44611</v>
      </c>
      <c r="B20" s="657" t="str">
        <f t="shared" si="0"/>
        <v>So</v>
      </c>
      <c r="C20" s="748">
        <f t="shared" si="1"/>
        <v>0.39583333333333337</v>
      </c>
      <c r="D20" s="837">
        <f t="shared" si="2"/>
        <v>57</v>
      </c>
      <c r="E20" s="724">
        <v>0.33333333333333331</v>
      </c>
      <c r="F20" s="726">
        <f t="shared" si="5"/>
        <v>2.0833333333333332E-2</v>
      </c>
      <c r="G20" s="727">
        <v>0.75</v>
      </c>
      <c r="H20" s="654" t="s">
        <v>476</v>
      </c>
      <c r="I20" s="657" t="s">
        <v>481</v>
      </c>
      <c r="J20" s="654" t="s">
        <v>475</v>
      </c>
      <c r="K20" s="657"/>
      <c r="L20" s="654" t="s">
        <v>15</v>
      </c>
      <c r="M20" s="657">
        <v>34</v>
      </c>
      <c r="N20" s="714">
        <v>6</v>
      </c>
      <c r="O20" s="738">
        <v>0</v>
      </c>
      <c r="P20" s="747">
        <v>0</v>
      </c>
      <c r="Q20" s="1001"/>
      <c r="R20" s="1001"/>
      <c r="S20" s="1008"/>
      <c r="T20" s="1001"/>
      <c r="U20" s="1001"/>
      <c r="V20" s="642">
        <f t="shared" si="4"/>
        <v>6</v>
      </c>
    </row>
    <row r="21" spans="1:22" ht="15.75" thickBot="1" x14ac:dyDescent="0.3">
      <c r="A21" s="651">
        <v>44612</v>
      </c>
      <c r="B21" s="657" t="str">
        <f t="shared" si="0"/>
        <v>Ne</v>
      </c>
      <c r="C21" s="748">
        <f t="shared" si="1"/>
        <v>0</v>
      </c>
      <c r="D21" s="837">
        <f t="shared" si="2"/>
        <v>0</v>
      </c>
      <c r="E21" s="724"/>
      <c r="F21" s="726"/>
      <c r="G21" s="727"/>
      <c r="H21" s="654" t="s">
        <v>476</v>
      </c>
      <c r="I21" s="657" t="s">
        <v>481</v>
      </c>
      <c r="J21" s="654" t="s">
        <v>475</v>
      </c>
      <c r="K21" s="657"/>
      <c r="L21" s="654" t="s">
        <v>15</v>
      </c>
      <c r="M21" s="657">
        <v>34</v>
      </c>
      <c r="N21" s="714"/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4"/>
        <v>7</v>
      </c>
    </row>
    <row r="22" spans="1:22" ht="15.75" thickBot="1" x14ac:dyDescent="0.3">
      <c r="A22" s="651">
        <v>44613</v>
      </c>
      <c r="B22" s="657" t="str">
        <f t="shared" si="0"/>
        <v>Po</v>
      </c>
      <c r="C22" s="748">
        <f t="shared" si="1"/>
        <v>0.39583333333333337</v>
      </c>
      <c r="D22" s="837">
        <f t="shared" si="2"/>
        <v>57</v>
      </c>
      <c r="E22" s="724">
        <v>0.33333333333333331</v>
      </c>
      <c r="F22" s="726">
        <f t="shared" ref="F22:F27" si="6">TIME(0,30,0)</f>
        <v>2.0833333333333332E-2</v>
      </c>
      <c r="G22" s="727">
        <v>0.75</v>
      </c>
      <c r="H22" s="654" t="s">
        <v>476</v>
      </c>
      <c r="I22" s="657" t="s">
        <v>481</v>
      </c>
      <c r="J22" s="654" t="s">
        <v>475</v>
      </c>
      <c r="K22" s="657"/>
      <c r="L22" s="654" t="s">
        <v>15</v>
      </c>
      <c r="M22" s="657">
        <v>34</v>
      </c>
      <c r="N22" s="714">
        <v>6</v>
      </c>
      <c r="O22" s="738">
        <v>500</v>
      </c>
      <c r="P22" s="747">
        <v>500</v>
      </c>
      <c r="Q22" s="1001"/>
      <c r="R22" s="1017"/>
      <c r="S22" s="718"/>
      <c r="T22" s="1001"/>
      <c r="U22" s="1001"/>
      <c r="V22" s="642">
        <f t="shared" si="4"/>
        <v>1</v>
      </c>
    </row>
    <row r="23" spans="1:22" ht="15.75" thickBot="1" x14ac:dyDescent="0.3">
      <c r="A23" s="651">
        <v>44614</v>
      </c>
      <c r="B23" s="657" t="str">
        <f t="shared" si="0"/>
        <v>Út</v>
      </c>
      <c r="C23" s="748">
        <f t="shared" si="1"/>
        <v>0.39583333333333337</v>
      </c>
      <c r="D23" s="837">
        <f t="shared" si="2"/>
        <v>57</v>
      </c>
      <c r="E23" s="724">
        <v>0.33333333333333331</v>
      </c>
      <c r="F23" s="726">
        <f t="shared" si="6"/>
        <v>2.0833333333333332E-2</v>
      </c>
      <c r="G23" s="727">
        <v>0.75</v>
      </c>
      <c r="H23" s="654" t="s">
        <v>476</v>
      </c>
      <c r="I23" s="657" t="s">
        <v>481</v>
      </c>
      <c r="J23" s="654" t="s">
        <v>475</v>
      </c>
      <c r="K23" s="657"/>
      <c r="L23" s="654" t="s">
        <v>15</v>
      </c>
      <c r="M23" s="657">
        <v>34</v>
      </c>
      <c r="N23" s="714">
        <v>6</v>
      </c>
      <c r="O23" s="897" t="s">
        <v>364</v>
      </c>
      <c r="P23" s="895" t="s">
        <v>363</v>
      </c>
      <c r="Q23" s="1015">
        <f>Q17-P24</f>
        <v>5511</v>
      </c>
      <c r="R23" s="1018"/>
      <c r="S23" s="1015">
        <f>T17-P24</f>
        <v>5511</v>
      </c>
      <c r="T23" s="1001"/>
      <c r="U23" s="1001"/>
      <c r="V23" s="642">
        <f t="shared" si="4"/>
        <v>2</v>
      </c>
    </row>
    <row r="24" spans="1:22" ht="15.75" thickBot="1" x14ac:dyDescent="0.3">
      <c r="A24" s="651">
        <v>44615</v>
      </c>
      <c r="B24" s="657" t="str">
        <f t="shared" si="0"/>
        <v>St</v>
      </c>
      <c r="C24" s="748">
        <f t="shared" si="1"/>
        <v>0.4375</v>
      </c>
      <c r="D24" s="837">
        <f t="shared" si="2"/>
        <v>63</v>
      </c>
      <c r="E24" s="724">
        <v>0.33333333333333331</v>
      </c>
      <c r="F24" s="726">
        <f t="shared" si="6"/>
        <v>2.0833333333333332E-2</v>
      </c>
      <c r="G24" s="727">
        <v>0.79166666666666663</v>
      </c>
      <c r="H24" s="654" t="s">
        <v>476</v>
      </c>
      <c r="I24" s="657" t="s">
        <v>481</v>
      </c>
      <c r="J24" s="654" t="s">
        <v>475</v>
      </c>
      <c r="K24" s="657"/>
      <c r="L24" s="654" t="s">
        <v>15</v>
      </c>
      <c r="M24" s="657">
        <v>34</v>
      </c>
      <c r="N24" s="714">
        <v>6</v>
      </c>
      <c r="O24" s="898">
        <f>P12-Q5</f>
        <v>5511</v>
      </c>
      <c r="P24" s="747">
        <f>O26-O28</f>
        <v>5400</v>
      </c>
      <c r="Q24" s="1020"/>
      <c r="R24" s="1019"/>
      <c r="S24" s="1006"/>
      <c r="T24" s="1006"/>
      <c r="U24" s="1006"/>
      <c r="V24" s="642">
        <f t="shared" si="4"/>
        <v>3</v>
      </c>
    </row>
    <row r="25" spans="1:22" ht="15.75" thickBot="1" x14ac:dyDescent="0.3">
      <c r="A25" s="651">
        <v>44616</v>
      </c>
      <c r="B25" s="657" t="str">
        <f t="shared" si="0"/>
        <v>Čt</v>
      </c>
      <c r="C25" s="748">
        <f t="shared" si="1"/>
        <v>0.4375</v>
      </c>
      <c r="D25" s="837">
        <f t="shared" si="2"/>
        <v>63</v>
      </c>
      <c r="E25" s="724">
        <v>0.33333333333333331</v>
      </c>
      <c r="F25" s="726">
        <f t="shared" si="6"/>
        <v>2.0833333333333332E-2</v>
      </c>
      <c r="G25" s="727">
        <v>0.79166666666666663</v>
      </c>
      <c r="H25" s="654" t="s">
        <v>476</v>
      </c>
      <c r="I25" s="657" t="s">
        <v>481</v>
      </c>
      <c r="J25" s="654" t="s">
        <v>475</v>
      </c>
      <c r="K25" s="657"/>
      <c r="L25" s="654" t="s">
        <v>15</v>
      </c>
      <c r="M25" s="657">
        <v>34</v>
      </c>
      <c r="N25" s="714">
        <v>6</v>
      </c>
      <c r="O25" s="711" t="s">
        <v>372</v>
      </c>
      <c r="P25" s="646"/>
      <c r="Q25" s="718"/>
      <c r="R25" s="718"/>
      <c r="S25" s="718"/>
      <c r="T25" s="718"/>
      <c r="U25" s="718"/>
      <c r="V25" s="642">
        <f t="shared" si="4"/>
        <v>4</v>
      </c>
    </row>
    <row r="26" spans="1:22" ht="15.75" thickBot="1" x14ac:dyDescent="0.3">
      <c r="A26" s="651">
        <v>44617</v>
      </c>
      <c r="B26" s="657" t="str">
        <f t="shared" si="0"/>
        <v>Pá</v>
      </c>
      <c r="C26" s="748">
        <f t="shared" si="1"/>
        <v>0.4375</v>
      </c>
      <c r="D26" s="837">
        <f t="shared" si="2"/>
        <v>52.5</v>
      </c>
      <c r="E26" s="724">
        <v>0.33333333333333331</v>
      </c>
      <c r="F26" s="726">
        <f t="shared" si="6"/>
        <v>2.0833333333333332E-2</v>
      </c>
      <c r="G26" s="727">
        <v>0.79166666666666663</v>
      </c>
      <c r="H26" s="654" t="s">
        <v>476</v>
      </c>
      <c r="I26" s="657" t="s">
        <v>481</v>
      </c>
      <c r="J26" s="654" t="s">
        <v>475</v>
      </c>
      <c r="K26" s="657"/>
      <c r="L26" s="654" t="s">
        <v>15</v>
      </c>
      <c r="M26" s="657">
        <v>34</v>
      </c>
      <c r="N26" s="714">
        <v>5</v>
      </c>
      <c r="O26" s="738">
        <v>42735</v>
      </c>
      <c r="P26" s="747"/>
      <c r="Q26" s="718"/>
      <c r="R26" s="718"/>
      <c r="S26" s="718"/>
      <c r="T26" s="718"/>
      <c r="U26" s="718"/>
      <c r="V26" s="642">
        <f t="shared" si="4"/>
        <v>5</v>
      </c>
    </row>
    <row r="27" spans="1:22" ht="15.75" thickBot="1" x14ac:dyDescent="0.3">
      <c r="A27" s="651">
        <v>44618</v>
      </c>
      <c r="B27" s="657" t="str">
        <f t="shared" si="0"/>
        <v>So</v>
      </c>
      <c r="C27" s="748">
        <f t="shared" si="1"/>
        <v>0.33333333333333337</v>
      </c>
      <c r="D27" s="837">
        <f t="shared" si="2"/>
        <v>48</v>
      </c>
      <c r="E27" s="724">
        <v>0.33333333333333331</v>
      </c>
      <c r="F27" s="726">
        <f t="shared" si="6"/>
        <v>2.0833333333333332E-2</v>
      </c>
      <c r="G27" s="727">
        <v>0.6875</v>
      </c>
      <c r="H27" s="654" t="s">
        <v>476</v>
      </c>
      <c r="I27" s="657" t="s">
        <v>481</v>
      </c>
      <c r="J27" s="654" t="s">
        <v>475</v>
      </c>
      <c r="K27" s="657"/>
      <c r="L27" s="654" t="s">
        <v>15</v>
      </c>
      <c r="M27" s="657">
        <v>34</v>
      </c>
      <c r="N27" s="714">
        <v>6</v>
      </c>
      <c r="O27" s="711" t="s">
        <v>373</v>
      </c>
      <c r="P27" s="646"/>
      <c r="Q27" s="718"/>
      <c r="R27" s="718"/>
      <c r="S27" s="718"/>
      <c r="T27" s="718"/>
      <c r="U27" s="718"/>
      <c r="V27" s="642">
        <f t="shared" si="4"/>
        <v>6</v>
      </c>
    </row>
    <row r="28" spans="1:22" ht="15.75" thickBot="1" x14ac:dyDescent="0.3">
      <c r="A28" s="651">
        <v>44619</v>
      </c>
      <c r="B28" s="657" t="str">
        <f t="shared" si="0"/>
        <v>Ne</v>
      </c>
      <c r="C28" s="748">
        <f t="shared" si="1"/>
        <v>0</v>
      </c>
      <c r="D28" s="837">
        <f t="shared" si="2"/>
        <v>0</v>
      </c>
      <c r="E28" s="724"/>
      <c r="F28" s="726"/>
      <c r="G28" s="727"/>
      <c r="H28" s="654" t="s">
        <v>476</v>
      </c>
      <c r="I28" s="657" t="s">
        <v>481</v>
      </c>
      <c r="J28" s="654" t="s">
        <v>475</v>
      </c>
      <c r="K28" s="657"/>
      <c r="L28" s="654" t="s">
        <v>15</v>
      </c>
      <c r="M28" s="657">
        <v>34</v>
      </c>
      <c r="N28" s="714"/>
      <c r="O28" s="738">
        <f>'01hod22'!O26</f>
        <v>37335</v>
      </c>
      <c r="P28" s="646"/>
      <c r="Q28" s="718"/>
      <c r="R28" s="718"/>
      <c r="S28" s="718"/>
      <c r="T28" s="718"/>
      <c r="U28" s="718"/>
      <c r="V28" s="642">
        <f t="shared" si="4"/>
        <v>7</v>
      </c>
    </row>
    <row r="29" spans="1:22" ht="15.75" thickBot="1" x14ac:dyDescent="0.3">
      <c r="A29" s="651">
        <v>44620</v>
      </c>
      <c r="B29" s="657" t="str">
        <f t="shared" si="0"/>
        <v>Po</v>
      </c>
      <c r="C29" s="748">
        <f t="shared" si="1"/>
        <v>0.41666666666666663</v>
      </c>
      <c r="D29" s="837">
        <f t="shared" si="2"/>
        <v>60</v>
      </c>
      <c r="E29" s="724">
        <v>0.33333333333333331</v>
      </c>
      <c r="F29" s="726">
        <f>TIME(1,0,0)</f>
        <v>4.1666666666666664E-2</v>
      </c>
      <c r="G29" s="727">
        <v>0.79166666666666663</v>
      </c>
      <c r="H29" s="654" t="s">
        <v>476</v>
      </c>
      <c r="I29" s="657" t="s">
        <v>481</v>
      </c>
      <c r="J29" s="654" t="s">
        <v>475</v>
      </c>
      <c r="K29" s="657"/>
      <c r="L29" s="654" t="s">
        <v>15</v>
      </c>
      <c r="M29" s="657">
        <v>34</v>
      </c>
      <c r="N29" s="714">
        <v>6</v>
      </c>
      <c r="O29" s="712"/>
      <c r="P29" s="648"/>
      <c r="Q29" s="718"/>
      <c r="R29" s="718"/>
      <c r="S29" s="718"/>
      <c r="T29" s="718"/>
      <c r="U29" s="718"/>
      <c r="V29" s="642">
        <f t="shared" si="4"/>
        <v>1</v>
      </c>
    </row>
    <row r="30" spans="1:22" ht="15.75" thickBot="1" x14ac:dyDescent="0.3">
      <c r="A30" s="651">
        <v>44621</v>
      </c>
      <c r="B30" s="657" t="str">
        <f t="shared" si="0"/>
        <v>Út</v>
      </c>
      <c r="C30" s="748">
        <f t="shared" si="1"/>
        <v>0</v>
      </c>
      <c r="D30" s="837">
        <f t="shared" si="2"/>
        <v>0</v>
      </c>
      <c r="E30" s="724"/>
      <c r="F30" s="726"/>
      <c r="G30" s="727"/>
      <c r="H30" s="654" t="s">
        <v>476</v>
      </c>
      <c r="I30" s="657" t="s">
        <v>481</v>
      </c>
      <c r="J30" s="654" t="s">
        <v>475</v>
      </c>
      <c r="K30" s="657"/>
      <c r="L30" s="654" t="s">
        <v>15</v>
      </c>
      <c r="M30" s="657">
        <v>34</v>
      </c>
      <c r="N30" s="714">
        <v>6</v>
      </c>
      <c r="O30" s="715"/>
      <c r="P30" s="720"/>
      <c r="Q30" s="718"/>
      <c r="R30" s="718"/>
      <c r="S30" s="718"/>
      <c r="T30" s="718"/>
      <c r="U30" s="718"/>
      <c r="V30" s="642">
        <f t="shared" si="4"/>
        <v>2</v>
      </c>
    </row>
    <row r="31" spans="1:22" ht="15.75" thickBot="1" x14ac:dyDescent="0.3">
      <c r="A31" s="651">
        <v>44622</v>
      </c>
      <c r="B31" s="657" t="str">
        <f t="shared" si="0"/>
        <v>St</v>
      </c>
      <c r="C31" s="748">
        <f t="shared" si="1"/>
        <v>0</v>
      </c>
      <c r="D31" s="837">
        <f t="shared" si="2"/>
        <v>0</v>
      </c>
      <c r="E31" s="724"/>
      <c r="F31" s="726"/>
      <c r="G31" s="727"/>
      <c r="H31" s="654" t="s">
        <v>476</v>
      </c>
      <c r="I31" s="657" t="s">
        <v>481</v>
      </c>
      <c r="J31" s="654" t="s">
        <v>475</v>
      </c>
      <c r="K31" s="657"/>
      <c r="L31" s="654" t="s">
        <v>15</v>
      </c>
      <c r="M31" s="657">
        <v>34</v>
      </c>
      <c r="N31" s="714"/>
      <c r="O31" s="649"/>
      <c r="P31" s="646"/>
      <c r="Q31" s="718"/>
      <c r="R31" s="718"/>
      <c r="S31" s="718"/>
      <c r="T31" s="718"/>
      <c r="U31" s="718"/>
      <c r="V31" s="642">
        <f t="shared" si="4"/>
        <v>3</v>
      </c>
    </row>
    <row r="32" spans="1:22" ht="15.75" thickBot="1" x14ac:dyDescent="0.3">
      <c r="A32" s="651">
        <v>44623</v>
      </c>
      <c r="B32" s="657" t="str">
        <f t="shared" si="0"/>
        <v>Čt</v>
      </c>
      <c r="C32" s="748">
        <f t="shared" si="1"/>
        <v>0</v>
      </c>
      <c r="D32" s="837">
        <f t="shared" si="2"/>
        <v>0</v>
      </c>
      <c r="E32" s="724"/>
      <c r="F32" s="726"/>
      <c r="G32" s="727"/>
      <c r="H32" s="654" t="s">
        <v>476</v>
      </c>
      <c r="I32" s="657" t="s">
        <v>481</v>
      </c>
      <c r="J32" s="654" t="s">
        <v>475</v>
      </c>
      <c r="K32" s="657"/>
      <c r="L32" s="654" t="s">
        <v>15</v>
      </c>
      <c r="M32" s="657">
        <v>34</v>
      </c>
      <c r="N32" s="714"/>
      <c r="O32" s="649"/>
      <c r="P32" s="646"/>
      <c r="Q32" s="718"/>
      <c r="R32" s="718"/>
      <c r="S32" s="718"/>
      <c r="T32" s="718"/>
      <c r="U32" s="718"/>
      <c r="V32" s="642">
        <f t="shared" si="4"/>
        <v>4</v>
      </c>
    </row>
    <row r="33" spans="1:31" ht="15.75" thickBot="1" x14ac:dyDescent="0.3">
      <c r="A33" s="651">
        <v>44624</v>
      </c>
      <c r="B33" s="657" t="str">
        <f t="shared" si="0"/>
        <v>Pá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 t="s">
        <v>476</v>
      </c>
      <c r="I33" s="657" t="s">
        <v>481</v>
      </c>
      <c r="J33" s="654" t="s">
        <v>475</v>
      </c>
      <c r="K33" s="657"/>
      <c r="L33" s="654" t="s">
        <v>15</v>
      </c>
      <c r="M33" s="657">
        <v>34</v>
      </c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5</v>
      </c>
    </row>
    <row r="34" spans="1:31" ht="15.75" thickBot="1" x14ac:dyDescent="0.3">
      <c r="A34" s="651">
        <v>44625</v>
      </c>
      <c r="B34" s="657" t="str">
        <f t="shared" si="0"/>
        <v>So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 t="s">
        <v>476</v>
      </c>
      <c r="I34" s="657" t="s">
        <v>481</v>
      </c>
      <c r="J34" s="654" t="s">
        <v>475</v>
      </c>
      <c r="K34" s="657"/>
      <c r="L34" s="654" t="s">
        <v>15</v>
      </c>
      <c r="M34" s="657">
        <v>34</v>
      </c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7">WEEKDAY(A34,2)</f>
        <v>6</v>
      </c>
    </row>
    <row r="35" spans="1:31" ht="15.75" thickBot="1" x14ac:dyDescent="0.3">
      <c r="A35" s="651">
        <v>44626</v>
      </c>
      <c r="B35" s="658" t="str">
        <f t="shared" si="0"/>
        <v>Ne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4" t="s">
        <v>476</v>
      </c>
      <c r="I35" s="657" t="s">
        <v>481</v>
      </c>
      <c r="J35" s="654" t="s">
        <v>475</v>
      </c>
      <c r="K35" s="658"/>
      <c r="L35" s="654" t="s">
        <v>15</v>
      </c>
      <c r="M35" s="658">
        <v>34</v>
      </c>
      <c r="N35" s="709"/>
      <c r="O35" s="652"/>
      <c r="P35" s="648"/>
      <c r="Q35" s="718"/>
      <c r="R35" s="718"/>
      <c r="S35" s="718"/>
      <c r="T35" s="718"/>
      <c r="U35" s="718"/>
      <c r="V35" s="642">
        <f t="shared" si="7"/>
        <v>7</v>
      </c>
    </row>
    <row r="36" spans="1:31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31" x14ac:dyDescent="0.25">
      <c r="E38" s="731"/>
      <c r="F38" s="731"/>
      <c r="O38" s="731"/>
    </row>
    <row r="39" spans="1:31" x14ac:dyDescent="0.25">
      <c r="C39" s="733"/>
      <c r="E39" s="732"/>
      <c r="F39" s="732"/>
    </row>
    <row r="40" spans="1:31" x14ac:dyDescent="0.25">
      <c r="O40" s="732">
        <f>SUM(C2:C29)</f>
        <v>5.7291666666666679</v>
      </c>
      <c r="P40" t="s">
        <v>315</v>
      </c>
    </row>
    <row r="41" spans="1:31" x14ac:dyDescent="0.25">
      <c r="O41" s="732">
        <v>0</v>
      </c>
      <c r="P41" t="s">
        <v>316</v>
      </c>
      <c r="AE41" t="s">
        <v>512</v>
      </c>
    </row>
    <row r="42" spans="1:31" x14ac:dyDescent="0.25">
      <c r="O42" s="731">
        <f>TIME(0,30,0)</f>
        <v>2.0833333333333332E-2</v>
      </c>
    </row>
    <row r="43" spans="1:31" x14ac:dyDescent="0.25">
      <c r="O43" s="737"/>
    </row>
    <row r="45" spans="1:31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F7820C-BD42-4542-87DC-C31A1F770C25}">
  <dimension ref="A1:V45"/>
  <sheetViews>
    <sheetView topLeftCell="U6" zoomScaleNormal="60" zoomScaleSheetLayoutView="100" workbookViewId="0">
      <selection activeCell="O14" sqref="O14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425781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44621</v>
      </c>
      <c r="B2" s="656" t="str">
        <f t="shared" ref="B2:B35" si="0">CHOOSE(WEEKDAY(V2),"Po","Út","St","Čt","Pá","So","Ne")</f>
        <v>Út</v>
      </c>
      <c r="C2" s="748">
        <f t="shared" ref="C2:C35" si="1">G2-E2-F2</f>
        <v>0.41666666666666663</v>
      </c>
      <c r="D2" s="836">
        <f t="shared" ref="D2:D35" si="2">(N2*C2)*24</f>
        <v>0</v>
      </c>
      <c r="E2" s="723">
        <v>0.33333333333333331</v>
      </c>
      <c r="F2" s="726">
        <f>TIME(1,0,0)</f>
        <v>4.1666666666666664E-2</v>
      </c>
      <c r="G2" s="726">
        <v>0.79166666666666663</v>
      </c>
      <c r="H2" s="654" t="s">
        <v>476</v>
      </c>
      <c r="I2" s="657" t="s">
        <v>15</v>
      </c>
      <c r="J2" s="654" t="s">
        <v>475</v>
      </c>
      <c r="K2" s="656"/>
      <c r="L2" s="654" t="s">
        <v>15</v>
      </c>
      <c r="M2" s="657">
        <v>34</v>
      </c>
      <c r="N2" s="713"/>
      <c r="O2" s="834">
        <f>(O4+O6)</f>
        <v>83.000000000000014</v>
      </c>
      <c r="P2" s="716">
        <f t="shared" ref="P2" si="3">P4+P6</f>
        <v>83</v>
      </c>
      <c r="Q2" s="853">
        <f>'02hod22'!Q5</f>
        <v>37551</v>
      </c>
      <c r="R2" s="644" t="s">
        <v>17</v>
      </c>
      <c r="S2" s="644" t="str">
        <f>'02hod22'!S5</f>
        <v>Výplata za Únor</v>
      </c>
      <c r="T2" s="875">
        <f>'02hod22'!T5</f>
        <v>44636</v>
      </c>
      <c r="U2" s="722">
        <f>T7*20</f>
        <v>0</v>
      </c>
      <c r="V2" s="642">
        <f t="shared" ref="V2:V32" si="4">WEEKDAY(A2,2)</f>
        <v>2</v>
      </c>
    </row>
    <row r="3" spans="1:22" ht="15.75" thickBot="1" x14ac:dyDescent="0.3">
      <c r="A3" s="651">
        <v>44622</v>
      </c>
      <c r="B3" s="657" t="str">
        <f t="shared" si="0"/>
        <v>St</v>
      </c>
      <c r="C3" s="748">
        <f t="shared" si="1"/>
        <v>0.41666666666666663</v>
      </c>
      <c r="D3" s="837">
        <f t="shared" si="2"/>
        <v>0</v>
      </c>
      <c r="E3" s="723">
        <v>0.33333333333333331</v>
      </c>
      <c r="F3" s="726">
        <f>TIME(1,0,0)</f>
        <v>4.1666666666666664E-2</v>
      </c>
      <c r="G3" s="726">
        <v>0.79166666666666663</v>
      </c>
      <c r="H3" s="654" t="s">
        <v>476</v>
      </c>
      <c r="I3" s="657" t="s">
        <v>15</v>
      </c>
      <c r="J3" s="654" t="s">
        <v>475</v>
      </c>
      <c r="K3" s="657"/>
      <c r="L3" s="654" t="s">
        <v>15</v>
      </c>
      <c r="M3" s="657">
        <v>34</v>
      </c>
      <c r="N3" s="714"/>
      <c r="O3" s="711" t="s">
        <v>19</v>
      </c>
      <c r="P3" s="717" t="s">
        <v>19</v>
      </c>
      <c r="Q3" s="738">
        <v>0</v>
      </c>
      <c r="R3" s="611" t="s">
        <v>48</v>
      </c>
      <c r="S3" s="611" t="s">
        <v>510</v>
      </c>
      <c r="T3" s="874">
        <v>44655</v>
      </c>
      <c r="U3" s="718"/>
      <c r="V3" s="642">
        <f t="shared" si="4"/>
        <v>3</v>
      </c>
    </row>
    <row r="4" spans="1:22" ht="15.75" thickBot="1" x14ac:dyDescent="0.3">
      <c r="A4" s="651">
        <v>44623</v>
      </c>
      <c r="B4" s="657" t="str">
        <f t="shared" si="0"/>
        <v>Čt</v>
      </c>
      <c r="C4" s="748">
        <f t="shared" si="1"/>
        <v>0.41666666666666663</v>
      </c>
      <c r="D4" s="837">
        <f t="shared" si="2"/>
        <v>0</v>
      </c>
      <c r="E4" s="723">
        <v>0.33333333333333331</v>
      </c>
      <c r="F4" s="726">
        <f>TIME(1,0,0)</f>
        <v>4.1666666666666664E-2</v>
      </c>
      <c r="G4" s="726">
        <v>0.79166666666666663</v>
      </c>
      <c r="H4" s="654" t="s">
        <v>476</v>
      </c>
      <c r="I4" s="657" t="s">
        <v>15</v>
      </c>
      <c r="J4" s="654" t="s">
        <v>475</v>
      </c>
      <c r="K4" s="657"/>
      <c r="L4" s="654" t="s">
        <v>15</v>
      </c>
      <c r="M4" s="657">
        <v>34</v>
      </c>
      <c r="N4" s="714"/>
      <c r="O4" s="835">
        <f>O40*24</f>
        <v>83.000000000000014</v>
      </c>
      <c r="P4" s="717">
        <v>83</v>
      </c>
      <c r="Q4" s="738">
        <v>20000</v>
      </c>
      <c r="R4" s="611" t="s">
        <v>17</v>
      </c>
      <c r="S4" s="611" t="s">
        <v>210</v>
      </c>
      <c r="T4" s="646"/>
      <c r="U4" s="718"/>
      <c r="V4" s="642">
        <f t="shared" si="4"/>
        <v>4</v>
      </c>
    </row>
    <row r="5" spans="1:22" ht="15.75" thickBot="1" x14ac:dyDescent="0.3">
      <c r="A5" s="651">
        <v>44624</v>
      </c>
      <c r="B5" s="657" t="str">
        <f t="shared" si="0"/>
        <v>Pá</v>
      </c>
      <c r="C5" s="748">
        <f t="shared" si="1"/>
        <v>0.4375</v>
      </c>
      <c r="D5" s="837">
        <f t="shared" si="2"/>
        <v>0</v>
      </c>
      <c r="E5" s="723">
        <v>0.33333333333333331</v>
      </c>
      <c r="F5" s="726">
        <f>TIME(0,30,0)</f>
        <v>2.0833333333333332E-2</v>
      </c>
      <c r="G5" s="727">
        <v>0.79166666666666663</v>
      </c>
      <c r="H5" s="654" t="s">
        <v>476</v>
      </c>
      <c r="I5" s="657" t="s">
        <v>15</v>
      </c>
      <c r="J5" s="654" t="s">
        <v>475</v>
      </c>
      <c r="K5" s="657"/>
      <c r="L5" s="654" t="s">
        <v>15</v>
      </c>
      <c r="M5" s="657">
        <v>34</v>
      </c>
      <c r="N5" s="714"/>
      <c r="O5" s="711" t="s">
        <v>14</v>
      </c>
      <c r="P5" s="717" t="s">
        <v>14</v>
      </c>
      <c r="Q5" s="738">
        <v>4665</v>
      </c>
      <c r="R5" s="611" t="s">
        <v>17</v>
      </c>
      <c r="S5" s="611" t="s">
        <v>313</v>
      </c>
      <c r="T5" s="874">
        <v>44671</v>
      </c>
      <c r="U5" s="718"/>
      <c r="V5" s="642">
        <f t="shared" si="4"/>
        <v>5</v>
      </c>
    </row>
    <row r="6" spans="1:22" ht="15.75" thickBot="1" x14ac:dyDescent="0.3">
      <c r="A6" s="651">
        <v>44625</v>
      </c>
      <c r="B6" s="657" t="str">
        <f t="shared" si="0"/>
        <v>So</v>
      </c>
      <c r="C6" s="748">
        <f t="shared" si="1"/>
        <v>0.39583333333333337</v>
      </c>
      <c r="D6" s="837">
        <f t="shared" si="2"/>
        <v>0</v>
      </c>
      <c r="E6" s="724">
        <v>0.33333333333333331</v>
      </c>
      <c r="F6" s="726">
        <f>TIME(0,30,0)</f>
        <v>2.0833333333333332E-2</v>
      </c>
      <c r="G6" s="727">
        <v>0.75</v>
      </c>
      <c r="H6" s="654" t="s">
        <v>476</v>
      </c>
      <c r="I6" s="657" t="s">
        <v>15</v>
      </c>
      <c r="J6" s="654" t="s">
        <v>475</v>
      </c>
      <c r="K6" s="657"/>
      <c r="L6" s="654" t="s">
        <v>15</v>
      </c>
      <c r="M6" s="657">
        <v>34</v>
      </c>
      <c r="N6" s="714"/>
      <c r="O6" s="835">
        <f>O41*24</f>
        <v>0</v>
      </c>
      <c r="P6" s="717">
        <v>0</v>
      </c>
      <c r="Q6" s="712" t="s">
        <v>107</v>
      </c>
      <c r="R6" s="647"/>
      <c r="S6" s="647" t="s">
        <v>48</v>
      </c>
      <c r="T6" s="648"/>
      <c r="U6" s="718"/>
      <c r="V6" s="642">
        <f t="shared" si="4"/>
        <v>6</v>
      </c>
    </row>
    <row r="7" spans="1:22" ht="15.75" thickBot="1" x14ac:dyDescent="0.3">
      <c r="A7" s="651">
        <v>44626</v>
      </c>
      <c r="B7" s="657" t="str">
        <f t="shared" si="0"/>
        <v>Ne</v>
      </c>
      <c r="C7" s="748">
        <f t="shared" si="1"/>
        <v>0</v>
      </c>
      <c r="D7" s="837">
        <f t="shared" si="2"/>
        <v>0</v>
      </c>
      <c r="E7" s="723"/>
      <c r="F7" s="726"/>
      <c r="G7" s="726"/>
      <c r="H7" s="654" t="s">
        <v>476</v>
      </c>
      <c r="I7" s="657" t="s">
        <v>15</v>
      </c>
      <c r="J7" s="654" t="s">
        <v>475</v>
      </c>
      <c r="K7" s="657"/>
      <c r="L7" s="654" t="s">
        <v>15</v>
      </c>
      <c r="M7" s="657">
        <v>34</v>
      </c>
      <c r="N7" s="714"/>
      <c r="O7" s="711" t="s">
        <v>20</v>
      </c>
      <c r="P7" s="646" t="s">
        <v>20</v>
      </c>
      <c r="Q7" s="721">
        <f>Q3+Q4</f>
        <v>20000</v>
      </c>
      <c r="R7" s="718"/>
      <c r="S7" s="718"/>
      <c r="T7" s="718"/>
      <c r="U7" s="718"/>
      <c r="V7" s="642">
        <f t="shared" si="4"/>
        <v>7</v>
      </c>
    </row>
    <row r="8" spans="1:22" ht="15.75" thickBot="1" x14ac:dyDescent="0.3">
      <c r="A8" s="651">
        <v>44627</v>
      </c>
      <c r="B8" s="657" t="str">
        <f t="shared" si="0"/>
        <v>Po</v>
      </c>
      <c r="C8" s="748">
        <f t="shared" si="1"/>
        <v>0.33333333333333337</v>
      </c>
      <c r="D8" s="837">
        <f t="shared" si="2"/>
        <v>0</v>
      </c>
      <c r="E8" s="723">
        <v>0.33333333333333331</v>
      </c>
      <c r="F8" s="726">
        <f>TIME(1,0,0)</f>
        <v>4.1666666666666664E-2</v>
      </c>
      <c r="G8" s="726">
        <v>0.70833333333333337</v>
      </c>
      <c r="H8" s="654" t="s">
        <v>476</v>
      </c>
      <c r="I8" s="657" t="s">
        <v>15</v>
      </c>
      <c r="J8" s="654" t="s">
        <v>475</v>
      </c>
      <c r="K8" s="657"/>
      <c r="L8" s="654" t="s">
        <v>15</v>
      </c>
      <c r="M8" s="657">
        <v>34</v>
      </c>
      <c r="N8" s="714"/>
      <c r="O8" s="711" t="s">
        <v>22</v>
      </c>
      <c r="P8" s="646" t="s">
        <v>22</v>
      </c>
      <c r="Q8" s="657" t="s">
        <v>487</v>
      </c>
      <c r="R8" s="718"/>
      <c r="S8" s="718"/>
      <c r="T8" s="718"/>
      <c r="U8" s="718"/>
      <c r="V8" s="642">
        <f t="shared" si="4"/>
        <v>1</v>
      </c>
    </row>
    <row r="9" spans="1:22" ht="15.75" thickBot="1" x14ac:dyDescent="0.3">
      <c r="A9" s="651">
        <v>44628</v>
      </c>
      <c r="B9" s="657" t="str">
        <f t="shared" si="0"/>
        <v>Út</v>
      </c>
      <c r="C9" s="748">
        <f t="shared" si="1"/>
        <v>0.375</v>
      </c>
      <c r="D9" s="837">
        <f t="shared" si="2"/>
        <v>0</v>
      </c>
      <c r="E9" s="723">
        <v>0.33333333333333331</v>
      </c>
      <c r="F9" s="726">
        <f>TIME(1,0,0)</f>
        <v>4.1666666666666664E-2</v>
      </c>
      <c r="G9" s="726">
        <v>0.75</v>
      </c>
      <c r="H9" s="654" t="s">
        <v>476</v>
      </c>
      <c r="I9" s="657" t="s">
        <v>15</v>
      </c>
      <c r="J9" s="654" t="s">
        <v>475</v>
      </c>
      <c r="K9" s="657"/>
      <c r="L9" s="654" t="s">
        <v>15</v>
      </c>
      <c r="M9" s="657">
        <v>34</v>
      </c>
      <c r="N9" s="714"/>
      <c r="O9" s="711" t="s">
        <v>23</v>
      </c>
      <c r="P9" s="646" t="s">
        <v>23</v>
      </c>
      <c r="Q9" s="657">
        <f>SUM(Q2:Q4)</f>
        <v>57551</v>
      </c>
      <c r="R9" s="718"/>
      <c r="S9" s="718"/>
      <c r="T9" s="718"/>
      <c r="U9" s="718"/>
      <c r="V9" s="642">
        <f t="shared" si="4"/>
        <v>2</v>
      </c>
    </row>
    <row r="10" spans="1:22" ht="15.75" thickBot="1" x14ac:dyDescent="0.3">
      <c r="A10" s="651">
        <v>44629</v>
      </c>
      <c r="B10" s="657" t="str">
        <f t="shared" si="0"/>
        <v>St</v>
      </c>
      <c r="C10" s="748">
        <f t="shared" si="1"/>
        <v>0.33333333333333337</v>
      </c>
      <c r="D10" s="837">
        <f t="shared" si="2"/>
        <v>0</v>
      </c>
      <c r="E10" s="723">
        <v>0.33333333333333331</v>
      </c>
      <c r="F10" s="726">
        <f>TIME(1,0,0)</f>
        <v>4.1666666666666664E-2</v>
      </c>
      <c r="G10" s="726">
        <v>0.70833333333333337</v>
      </c>
      <c r="H10" s="654" t="s">
        <v>476</v>
      </c>
      <c r="I10" s="657" t="s">
        <v>15</v>
      </c>
      <c r="J10" s="654" t="s">
        <v>475</v>
      </c>
      <c r="K10" s="657"/>
      <c r="L10" s="654" t="s">
        <v>15</v>
      </c>
      <c r="M10" s="657">
        <v>34</v>
      </c>
      <c r="N10" s="714"/>
      <c r="O10" s="738">
        <f>(O2*380)+U2</f>
        <v>31540.000000000004</v>
      </c>
      <c r="P10" s="747">
        <f>SUM(P2*380)</f>
        <v>31540</v>
      </c>
      <c r="Q10" s="719"/>
      <c r="R10" s="718"/>
      <c r="S10" s="718"/>
      <c r="T10" s="718"/>
      <c r="U10" s="718"/>
      <c r="V10" s="642">
        <f t="shared" si="4"/>
        <v>3</v>
      </c>
    </row>
    <row r="11" spans="1:22" ht="15.75" thickBot="1" x14ac:dyDescent="0.3">
      <c r="A11" s="651">
        <v>44630</v>
      </c>
      <c r="B11" s="657" t="str">
        <f t="shared" si="0"/>
        <v>Čt</v>
      </c>
      <c r="C11" s="748">
        <f t="shared" si="1"/>
        <v>0.33333333333333337</v>
      </c>
      <c r="D11" s="837">
        <f t="shared" si="2"/>
        <v>0</v>
      </c>
      <c r="E11" s="723">
        <v>0.33333333333333331</v>
      </c>
      <c r="F11" s="726">
        <f>TIME(1,0,0)</f>
        <v>4.1666666666666664E-2</v>
      </c>
      <c r="G11" s="726">
        <v>0.70833333333333337</v>
      </c>
      <c r="H11" s="654" t="s">
        <v>476</v>
      </c>
      <c r="I11" s="657" t="s">
        <v>15</v>
      </c>
      <c r="J11" s="654" t="s">
        <v>475</v>
      </c>
      <c r="K11" s="657"/>
      <c r="L11" s="654" t="s">
        <v>15</v>
      </c>
      <c r="M11" s="657">
        <v>34</v>
      </c>
      <c r="N11" s="714"/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4"/>
        <v>4</v>
      </c>
    </row>
    <row r="12" spans="1:22" ht="15.75" thickBot="1" x14ac:dyDescent="0.3">
      <c r="A12" s="651">
        <v>44631</v>
      </c>
      <c r="B12" s="657" t="str">
        <f t="shared" si="0"/>
        <v>Pá</v>
      </c>
      <c r="C12" s="748">
        <f>G12-E12-F12</f>
        <v>0</v>
      </c>
      <c r="D12" s="837">
        <f t="shared" si="2"/>
        <v>0</v>
      </c>
      <c r="E12" s="724"/>
      <c r="F12" s="726"/>
      <c r="G12" s="727"/>
      <c r="H12" s="654"/>
      <c r="I12" s="657"/>
      <c r="J12" s="654"/>
      <c r="K12" s="657"/>
      <c r="L12" s="654"/>
      <c r="M12" s="657"/>
      <c r="N12" s="714"/>
      <c r="O12" s="738">
        <f>(O10+O20+O18-O22)-O14-P24</f>
        <v>30175.650000000005</v>
      </c>
      <c r="P12" s="747">
        <f>(P10+P18+P20-P22)-P14-P24</f>
        <v>30175.65</v>
      </c>
      <c r="Q12" s="718"/>
      <c r="R12" s="718"/>
      <c r="S12" s="718"/>
      <c r="T12" s="718"/>
      <c r="U12" s="718"/>
      <c r="V12" s="642">
        <f t="shared" si="4"/>
        <v>5</v>
      </c>
    </row>
    <row r="13" spans="1:22" ht="15.75" thickBot="1" x14ac:dyDescent="0.3">
      <c r="A13" s="651">
        <v>44632</v>
      </c>
      <c r="B13" s="657" t="str">
        <f t="shared" si="0"/>
        <v>So</v>
      </c>
      <c r="C13" s="748">
        <f t="shared" si="1"/>
        <v>0</v>
      </c>
      <c r="D13" s="837">
        <f t="shared" si="2"/>
        <v>0</v>
      </c>
      <c r="E13" s="724"/>
      <c r="F13" s="726"/>
      <c r="G13" s="727"/>
      <c r="H13" s="654"/>
      <c r="I13" s="657"/>
      <c r="J13" s="654"/>
      <c r="K13" s="657"/>
      <c r="L13" s="654"/>
      <c r="M13" s="657"/>
      <c r="N13" s="714"/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6</v>
      </c>
    </row>
    <row r="14" spans="1:22" ht="15.75" thickBot="1" x14ac:dyDescent="0.3">
      <c r="A14" s="651">
        <v>44633</v>
      </c>
      <c r="B14" s="657" t="str">
        <f t="shared" si="0"/>
        <v>Ne</v>
      </c>
      <c r="C14" s="748">
        <f t="shared" si="1"/>
        <v>0</v>
      </c>
      <c r="D14" s="837">
        <f t="shared" si="2"/>
        <v>0</v>
      </c>
      <c r="E14" s="723"/>
      <c r="F14" s="726"/>
      <c r="G14" s="726"/>
      <c r="H14" s="654"/>
      <c r="I14" s="657"/>
      <c r="J14" s="654"/>
      <c r="K14" s="657"/>
      <c r="L14" s="654"/>
      <c r="M14" s="657"/>
      <c r="N14" s="714"/>
      <c r="O14" s="738">
        <f>(O16*24.39)</f>
        <v>1585.3500000000001</v>
      </c>
      <c r="P14" s="747">
        <f>(P16*24.39)</f>
        <v>1585.3500000000001</v>
      </c>
      <c r="Q14" s="923" t="s">
        <v>458</v>
      </c>
      <c r="R14" s="1004">
        <f>Q7+P14+P22-P18-P20</f>
        <v>25382.35</v>
      </c>
      <c r="S14" s="1007"/>
      <c r="T14" s="923" t="s">
        <v>462</v>
      </c>
      <c r="U14" s="1004">
        <f>P14+P22+Q7</f>
        <v>26368.35</v>
      </c>
      <c r="V14" s="642">
        <f t="shared" si="4"/>
        <v>7</v>
      </c>
    </row>
    <row r="15" spans="1:22" ht="15.75" thickBot="1" x14ac:dyDescent="0.3">
      <c r="A15" s="651">
        <v>44634</v>
      </c>
      <c r="B15" s="657" t="str">
        <f t="shared" si="0"/>
        <v>Po</v>
      </c>
      <c r="C15" s="748">
        <f t="shared" si="1"/>
        <v>0</v>
      </c>
      <c r="D15" s="837">
        <f t="shared" si="2"/>
        <v>0</v>
      </c>
      <c r="E15" s="723"/>
      <c r="F15" s="726"/>
      <c r="G15" s="726"/>
      <c r="H15" s="654"/>
      <c r="I15" s="657"/>
      <c r="J15" s="654"/>
      <c r="K15" s="657"/>
      <c r="L15" s="654"/>
      <c r="M15" s="657"/>
      <c r="N15" s="714"/>
      <c r="O15" s="711" t="s">
        <v>29</v>
      </c>
      <c r="P15" s="646" t="s">
        <v>29</v>
      </c>
      <c r="Q15" s="1001" t="s">
        <v>459</v>
      </c>
      <c r="R15" s="1002">
        <f>P10</f>
        <v>31540</v>
      </c>
      <c r="S15" s="1008"/>
      <c r="T15" s="1001" t="s">
        <v>463</v>
      </c>
      <c r="U15" s="1002">
        <f>P10+P18+P20</f>
        <v>32526</v>
      </c>
      <c r="V15" s="642">
        <f t="shared" si="4"/>
        <v>1</v>
      </c>
    </row>
    <row r="16" spans="1:22" ht="15.75" thickBot="1" x14ac:dyDescent="0.3">
      <c r="A16" s="651">
        <v>44635</v>
      </c>
      <c r="B16" s="657" t="str">
        <f t="shared" si="0"/>
        <v>Út</v>
      </c>
      <c r="C16" s="748">
        <f t="shared" si="1"/>
        <v>0</v>
      </c>
      <c r="D16" s="837">
        <f t="shared" si="2"/>
        <v>0</v>
      </c>
      <c r="E16" s="723"/>
      <c r="F16" s="726"/>
      <c r="G16" s="726"/>
      <c r="H16" s="654"/>
      <c r="I16" s="657"/>
      <c r="J16" s="654"/>
      <c r="K16" s="657"/>
      <c r="L16" s="654"/>
      <c r="M16" s="657"/>
      <c r="N16" s="714"/>
      <c r="O16" s="893">
        <v>65</v>
      </c>
      <c r="P16" s="894">
        <v>65</v>
      </c>
      <c r="Q16" s="1001"/>
      <c r="R16" s="1003">
        <f>R15-R14</f>
        <v>6157.6500000000015</v>
      </c>
      <c r="S16" s="1008"/>
      <c r="T16" s="1001"/>
      <c r="U16" s="1002">
        <f>U15-U14</f>
        <v>6157.6500000000015</v>
      </c>
      <c r="V16" s="642">
        <f t="shared" si="4"/>
        <v>2</v>
      </c>
    </row>
    <row r="17" spans="1:22" ht="15.75" thickBot="1" x14ac:dyDescent="0.3">
      <c r="A17" s="651">
        <v>44636</v>
      </c>
      <c r="B17" s="657" t="str">
        <f t="shared" si="0"/>
        <v>St</v>
      </c>
      <c r="C17" s="748">
        <f t="shared" si="1"/>
        <v>0</v>
      </c>
      <c r="D17" s="837">
        <f t="shared" si="2"/>
        <v>0</v>
      </c>
      <c r="E17" s="723"/>
      <c r="F17" s="726"/>
      <c r="G17" s="726"/>
      <c r="H17" s="654"/>
      <c r="I17" s="657"/>
      <c r="J17" s="654"/>
      <c r="K17" s="657"/>
      <c r="L17" s="654"/>
      <c r="M17" s="657"/>
      <c r="N17" s="714"/>
      <c r="O17" s="711" t="s">
        <v>31</v>
      </c>
      <c r="P17" s="646" t="s">
        <v>31</v>
      </c>
      <c r="Q17" s="1002">
        <f>R16-Q5</f>
        <v>1492.6500000000015</v>
      </c>
      <c r="R17" s="1001"/>
      <c r="S17" s="1009"/>
      <c r="T17" s="1002">
        <f>U16-Q5</f>
        <v>1492.6500000000015</v>
      </c>
      <c r="U17" s="1001"/>
      <c r="V17" s="642">
        <f t="shared" si="4"/>
        <v>3</v>
      </c>
    </row>
    <row r="18" spans="1:22" ht="15.75" thickBot="1" x14ac:dyDescent="0.3">
      <c r="A18" s="651">
        <v>44637</v>
      </c>
      <c r="B18" s="657" t="str">
        <f t="shared" si="0"/>
        <v>Čt</v>
      </c>
      <c r="C18" s="748">
        <f t="shared" si="1"/>
        <v>0</v>
      </c>
      <c r="D18" s="837">
        <f t="shared" si="2"/>
        <v>0</v>
      </c>
      <c r="E18" s="723"/>
      <c r="F18" s="726"/>
      <c r="G18" s="726"/>
      <c r="H18" s="654"/>
      <c r="I18" s="657"/>
      <c r="J18" s="654"/>
      <c r="K18" s="657"/>
      <c r="L18" s="654"/>
      <c r="M18" s="657"/>
      <c r="N18" s="714"/>
      <c r="O18" s="738">
        <v>0</v>
      </c>
      <c r="P18" s="747">
        <v>0</v>
      </c>
      <c r="Q18" s="1001"/>
      <c r="R18" s="1001"/>
      <c r="S18" s="1008"/>
      <c r="T18" s="1001"/>
      <c r="U18" s="1001"/>
      <c r="V18" s="642">
        <f t="shared" si="4"/>
        <v>4</v>
      </c>
    </row>
    <row r="19" spans="1:22" ht="15.75" thickBot="1" x14ac:dyDescent="0.3">
      <c r="A19" s="651">
        <v>44638</v>
      </c>
      <c r="B19" s="657" t="str">
        <f t="shared" si="0"/>
        <v>Pá</v>
      </c>
      <c r="C19" s="748">
        <f t="shared" si="1"/>
        <v>0</v>
      </c>
      <c r="D19" s="837">
        <f t="shared" si="2"/>
        <v>0</v>
      </c>
      <c r="E19" s="723"/>
      <c r="F19" s="726"/>
      <c r="G19" s="726"/>
      <c r="H19" s="654"/>
      <c r="I19" s="657"/>
      <c r="J19" s="654"/>
      <c r="K19" s="657"/>
      <c r="L19" s="654"/>
      <c r="M19" s="657"/>
      <c r="N19" s="714"/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4"/>
        <v>5</v>
      </c>
    </row>
    <row r="20" spans="1:22" ht="15.75" thickBot="1" x14ac:dyDescent="0.3">
      <c r="A20" s="651">
        <v>44639</v>
      </c>
      <c r="B20" s="657" t="str">
        <f t="shared" si="0"/>
        <v>So</v>
      </c>
      <c r="C20" s="748">
        <f t="shared" si="1"/>
        <v>0</v>
      </c>
      <c r="D20" s="837">
        <f t="shared" si="2"/>
        <v>0</v>
      </c>
      <c r="E20" s="724"/>
      <c r="F20" s="726"/>
      <c r="G20" s="727"/>
      <c r="H20" s="654"/>
      <c r="I20" s="657"/>
      <c r="J20" s="654"/>
      <c r="K20" s="657"/>
      <c r="L20" s="654"/>
      <c r="M20" s="657"/>
      <c r="N20" s="714"/>
      <c r="O20" s="738">
        <v>986</v>
      </c>
      <c r="P20" s="747">
        <v>986</v>
      </c>
      <c r="Q20" s="1001"/>
      <c r="R20" s="1001"/>
      <c r="S20" s="1008"/>
      <c r="T20" s="1001"/>
      <c r="U20" s="1001"/>
      <c r="V20" s="642">
        <f t="shared" si="4"/>
        <v>6</v>
      </c>
    </row>
    <row r="21" spans="1:22" ht="15.75" thickBot="1" x14ac:dyDescent="0.3">
      <c r="A21" s="651">
        <v>44640</v>
      </c>
      <c r="B21" s="657" t="str">
        <f t="shared" si="0"/>
        <v>Ne</v>
      </c>
      <c r="C21" s="748">
        <f t="shared" si="1"/>
        <v>0</v>
      </c>
      <c r="D21" s="837">
        <f t="shared" si="2"/>
        <v>0</v>
      </c>
      <c r="E21" s="724"/>
      <c r="F21" s="726"/>
      <c r="G21" s="727"/>
      <c r="H21" s="654"/>
      <c r="I21" s="657"/>
      <c r="J21" s="654"/>
      <c r="K21" s="657"/>
      <c r="L21" s="654"/>
      <c r="M21" s="657"/>
      <c r="N21" s="714"/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4"/>
        <v>7</v>
      </c>
    </row>
    <row r="22" spans="1:22" ht="15.75" thickBot="1" x14ac:dyDescent="0.3">
      <c r="A22" s="651">
        <v>44641</v>
      </c>
      <c r="B22" s="657" t="str">
        <f t="shared" si="0"/>
        <v>Po</v>
      </c>
      <c r="C22" s="748">
        <f t="shared" si="1"/>
        <v>0</v>
      </c>
      <c r="D22" s="837">
        <f t="shared" si="2"/>
        <v>0</v>
      </c>
      <c r="E22" s="724"/>
      <c r="F22" s="726"/>
      <c r="G22" s="727"/>
      <c r="H22" s="654"/>
      <c r="I22" s="657"/>
      <c r="J22" s="654"/>
      <c r="K22" s="657"/>
      <c r="L22" s="654"/>
      <c r="M22" s="658"/>
      <c r="N22" s="714"/>
      <c r="O22" s="738">
        <v>4783</v>
      </c>
      <c r="P22" s="747">
        <v>4783</v>
      </c>
      <c r="Q22" s="1001"/>
      <c r="R22" s="1017"/>
      <c r="S22" s="718"/>
      <c r="T22" s="1001"/>
      <c r="U22" s="1001"/>
      <c r="V22" s="642">
        <f t="shared" si="4"/>
        <v>1</v>
      </c>
    </row>
    <row r="23" spans="1:22" ht="15.75" thickBot="1" x14ac:dyDescent="0.3">
      <c r="A23" s="651">
        <v>44642</v>
      </c>
      <c r="B23" s="657" t="str">
        <f t="shared" si="0"/>
        <v>Út</v>
      </c>
      <c r="C23" s="748">
        <f t="shared" si="1"/>
        <v>0</v>
      </c>
      <c r="D23" s="837">
        <f t="shared" si="2"/>
        <v>0</v>
      </c>
      <c r="E23" s="724"/>
      <c r="F23" s="726"/>
      <c r="G23" s="727"/>
      <c r="H23" s="654"/>
      <c r="I23" s="657"/>
      <c r="J23" s="654"/>
      <c r="K23" s="657"/>
      <c r="L23" s="654"/>
      <c r="M23" s="657"/>
      <c r="N23" s="714"/>
      <c r="O23" s="897" t="s">
        <v>364</v>
      </c>
      <c r="P23" s="895" t="s">
        <v>363</v>
      </c>
      <c r="Q23" s="1015">
        <f>Q17-P24</f>
        <v>5510.6500000000015</v>
      </c>
      <c r="R23" s="1018"/>
      <c r="S23" s="1015">
        <f>T17-P24</f>
        <v>5510.6500000000015</v>
      </c>
      <c r="T23" s="1001"/>
      <c r="U23" s="1001"/>
      <c r="V23" s="642">
        <f t="shared" si="4"/>
        <v>2</v>
      </c>
    </row>
    <row r="24" spans="1:22" ht="15.75" thickBot="1" x14ac:dyDescent="0.3">
      <c r="A24" s="651">
        <v>44643</v>
      </c>
      <c r="B24" s="657" t="str">
        <f t="shared" si="0"/>
        <v>St</v>
      </c>
      <c r="C24" s="748">
        <f t="shared" si="1"/>
        <v>0</v>
      </c>
      <c r="D24" s="837">
        <f t="shared" si="2"/>
        <v>0</v>
      </c>
      <c r="E24" s="724"/>
      <c r="F24" s="726"/>
      <c r="G24" s="727"/>
      <c r="H24" s="654"/>
      <c r="I24" s="657"/>
      <c r="J24" s="654"/>
      <c r="K24" s="657"/>
      <c r="L24" s="654"/>
      <c r="M24" s="657"/>
      <c r="N24" s="714"/>
      <c r="O24" s="898">
        <f>P12-Q5</f>
        <v>25510.65</v>
      </c>
      <c r="P24" s="747">
        <f>O26-O28</f>
        <v>-4018</v>
      </c>
      <c r="Q24" s="1020"/>
      <c r="R24" s="1019"/>
      <c r="S24" s="1006"/>
      <c r="T24" s="1006"/>
      <c r="U24" s="1006"/>
      <c r="V24" s="642">
        <f t="shared" si="4"/>
        <v>3</v>
      </c>
    </row>
    <row r="25" spans="1:22" ht="15.75" thickBot="1" x14ac:dyDescent="0.3">
      <c r="A25" s="651">
        <v>44644</v>
      </c>
      <c r="B25" s="657" t="str">
        <f t="shared" si="0"/>
        <v>Čt</v>
      </c>
      <c r="C25" s="748">
        <f t="shared" si="1"/>
        <v>0</v>
      </c>
      <c r="D25" s="837">
        <f t="shared" si="2"/>
        <v>0</v>
      </c>
      <c r="E25" s="724"/>
      <c r="F25" s="726"/>
      <c r="G25" s="727"/>
      <c r="H25" s="654"/>
      <c r="I25" s="657"/>
      <c r="J25" s="654"/>
      <c r="K25" s="657"/>
      <c r="L25" s="654"/>
      <c r="M25" s="657"/>
      <c r="N25" s="714"/>
      <c r="O25" s="711" t="s">
        <v>372</v>
      </c>
      <c r="P25" s="646"/>
      <c r="Q25" s="718"/>
      <c r="R25" s="718"/>
      <c r="S25" s="718"/>
      <c r="T25" s="718"/>
      <c r="U25" s="718"/>
      <c r="V25" s="642">
        <f t="shared" si="4"/>
        <v>4</v>
      </c>
    </row>
    <row r="26" spans="1:22" ht="15.75" thickBot="1" x14ac:dyDescent="0.3">
      <c r="A26" s="651">
        <v>44645</v>
      </c>
      <c r="B26" s="657" t="str">
        <f t="shared" si="0"/>
        <v>Pá</v>
      </c>
      <c r="C26" s="748">
        <f t="shared" si="1"/>
        <v>0</v>
      </c>
      <c r="D26" s="837">
        <f t="shared" si="2"/>
        <v>0</v>
      </c>
      <c r="E26" s="724"/>
      <c r="F26" s="726"/>
      <c r="G26" s="727"/>
      <c r="H26" s="654"/>
      <c r="I26" s="657"/>
      <c r="J26" s="654"/>
      <c r="K26" s="657"/>
      <c r="L26" s="654"/>
      <c r="M26" s="657"/>
      <c r="N26" s="714"/>
      <c r="O26" s="738">
        <v>38717</v>
      </c>
      <c r="P26" s="747"/>
      <c r="Q26" s="718"/>
      <c r="R26" s="718"/>
      <c r="S26" s="718"/>
      <c r="T26" s="718"/>
      <c r="U26" s="718"/>
      <c r="V26" s="642">
        <f t="shared" si="4"/>
        <v>5</v>
      </c>
    </row>
    <row r="27" spans="1:22" ht="15.75" thickBot="1" x14ac:dyDescent="0.3">
      <c r="A27" s="651">
        <v>44646</v>
      </c>
      <c r="B27" s="657" t="str">
        <f t="shared" si="0"/>
        <v>So</v>
      </c>
      <c r="C27" s="748">
        <f t="shared" si="1"/>
        <v>0</v>
      </c>
      <c r="D27" s="837">
        <f t="shared" si="2"/>
        <v>0</v>
      </c>
      <c r="E27" s="724"/>
      <c r="F27" s="726"/>
      <c r="G27" s="727"/>
      <c r="H27" s="654"/>
      <c r="I27" s="657"/>
      <c r="J27" s="654"/>
      <c r="K27" s="657"/>
      <c r="L27" s="654"/>
      <c r="M27" s="657"/>
      <c r="N27" s="714"/>
      <c r="O27" s="711" t="s">
        <v>373</v>
      </c>
      <c r="P27" s="646"/>
      <c r="Q27" s="718"/>
      <c r="R27" s="718"/>
      <c r="S27" s="718"/>
      <c r="T27" s="718"/>
      <c r="U27" s="718"/>
      <c r="V27" s="642">
        <f t="shared" si="4"/>
        <v>6</v>
      </c>
    </row>
    <row r="28" spans="1:22" ht="15.75" thickBot="1" x14ac:dyDescent="0.3">
      <c r="A28" s="651">
        <v>44647</v>
      </c>
      <c r="B28" s="657" t="str">
        <f t="shared" si="0"/>
        <v>Ne</v>
      </c>
      <c r="C28" s="748">
        <f t="shared" si="1"/>
        <v>0</v>
      </c>
      <c r="D28" s="837">
        <f t="shared" si="2"/>
        <v>0</v>
      </c>
      <c r="E28" s="724"/>
      <c r="F28" s="726"/>
      <c r="G28" s="727"/>
      <c r="H28" s="654"/>
      <c r="I28" s="657"/>
      <c r="J28" s="654"/>
      <c r="K28" s="657"/>
      <c r="L28" s="654"/>
      <c r="M28" s="657"/>
      <c r="N28" s="714"/>
      <c r="O28" s="738">
        <f>'02hod22'!O26</f>
        <v>42735</v>
      </c>
      <c r="P28" s="646"/>
      <c r="Q28" s="718"/>
      <c r="R28" s="718"/>
      <c r="S28" s="718"/>
      <c r="T28" s="718"/>
      <c r="U28" s="718"/>
      <c r="V28" s="642">
        <f t="shared" si="4"/>
        <v>7</v>
      </c>
    </row>
    <row r="29" spans="1:22" ht="15.75" thickBot="1" x14ac:dyDescent="0.3">
      <c r="A29" s="651">
        <v>44648</v>
      </c>
      <c r="B29" s="657" t="str">
        <f t="shared" si="0"/>
        <v>Po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/>
      <c r="I29" s="657"/>
      <c r="J29" s="654"/>
      <c r="K29" s="657"/>
      <c r="L29" s="654"/>
      <c r="M29" s="657"/>
      <c r="N29" s="714"/>
      <c r="O29" s="712"/>
      <c r="P29" s="648"/>
      <c r="Q29" s="718"/>
      <c r="R29" s="718"/>
      <c r="S29" s="718"/>
      <c r="T29" s="718"/>
      <c r="U29" s="718"/>
      <c r="V29" s="642">
        <f t="shared" si="4"/>
        <v>1</v>
      </c>
    </row>
    <row r="30" spans="1:22" ht="15.75" thickBot="1" x14ac:dyDescent="0.3">
      <c r="A30" s="651">
        <v>44649</v>
      </c>
      <c r="B30" s="657" t="str">
        <f t="shared" si="0"/>
        <v>Út</v>
      </c>
      <c r="C30" s="748">
        <f t="shared" si="1"/>
        <v>0</v>
      </c>
      <c r="D30" s="837">
        <f t="shared" si="2"/>
        <v>0</v>
      </c>
      <c r="E30" s="724"/>
      <c r="F30" s="726"/>
      <c r="G30" s="727"/>
      <c r="H30" s="654"/>
      <c r="I30" s="657"/>
      <c r="J30" s="654"/>
      <c r="K30" s="657"/>
      <c r="L30" s="654"/>
      <c r="M30" s="657"/>
      <c r="N30" s="714"/>
      <c r="O30" s="715"/>
      <c r="P30" s="720"/>
      <c r="Q30" s="718"/>
      <c r="R30" s="718"/>
      <c r="S30" s="718"/>
      <c r="T30" s="718"/>
      <c r="U30" s="718"/>
      <c r="V30" s="642">
        <f t="shared" si="4"/>
        <v>2</v>
      </c>
    </row>
    <row r="31" spans="1:22" ht="15.75" thickBot="1" x14ac:dyDescent="0.3">
      <c r="A31" s="651">
        <v>44650</v>
      </c>
      <c r="B31" s="657" t="str">
        <f t="shared" si="0"/>
        <v>St</v>
      </c>
      <c r="C31" s="748">
        <f t="shared" si="1"/>
        <v>0</v>
      </c>
      <c r="D31" s="837">
        <f t="shared" si="2"/>
        <v>0</v>
      </c>
      <c r="E31" s="724"/>
      <c r="F31" s="726"/>
      <c r="G31" s="727"/>
      <c r="H31" s="654"/>
      <c r="I31" s="657"/>
      <c r="J31" s="654"/>
      <c r="K31" s="657"/>
      <c r="L31" s="654"/>
      <c r="M31" s="657"/>
      <c r="N31" s="714"/>
      <c r="O31" s="649"/>
      <c r="P31" s="646"/>
      <c r="Q31" s="718"/>
      <c r="R31" s="718"/>
      <c r="S31" s="718"/>
      <c r="T31" s="718"/>
      <c r="U31" s="718"/>
      <c r="V31" s="642">
        <f t="shared" si="4"/>
        <v>3</v>
      </c>
    </row>
    <row r="32" spans="1:22" ht="15.75" thickBot="1" x14ac:dyDescent="0.3">
      <c r="A32" s="651">
        <v>44651</v>
      </c>
      <c r="B32" s="657" t="str">
        <f t="shared" si="0"/>
        <v>Čt</v>
      </c>
      <c r="C32" s="748">
        <f t="shared" si="1"/>
        <v>0</v>
      </c>
      <c r="D32" s="837">
        <f t="shared" si="2"/>
        <v>0</v>
      </c>
      <c r="E32" s="724"/>
      <c r="F32" s="726"/>
      <c r="G32" s="727"/>
      <c r="H32" s="654"/>
      <c r="I32" s="657"/>
      <c r="J32" s="654"/>
      <c r="K32" s="657"/>
      <c r="L32" s="654"/>
      <c r="M32" s="657"/>
      <c r="N32" s="714"/>
      <c r="O32" s="649"/>
      <c r="P32" s="646"/>
      <c r="Q32" s="718"/>
      <c r="R32" s="718"/>
      <c r="S32" s="718"/>
      <c r="T32" s="718"/>
      <c r="U32" s="718"/>
      <c r="V32" s="642">
        <f t="shared" si="4"/>
        <v>4</v>
      </c>
    </row>
    <row r="33" spans="1:22" ht="15.75" thickBot="1" x14ac:dyDescent="0.3">
      <c r="A33" s="651">
        <v>44652</v>
      </c>
      <c r="B33" s="657" t="str">
        <f t="shared" si="0"/>
        <v>Pá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/>
      <c r="I33" s="657"/>
      <c r="J33" s="654"/>
      <c r="K33" s="657"/>
      <c r="L33" s="654"/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5</v>
      </c>
    </row>
    <row r="34" spans="1:22" ht="15.75" thickBot="1" x14ac:dyDescent="0.3">
      <c r="A34" s="651">
        <v>44653</v>
      </c>
      <c r="B34" s="657" t="str">
        <f t="shared" si="0"/>
        <v>So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/>
      <c r="I34" s="657"/>
      <c r="J34" s="654"/>
      <c r="K34" s="657"/>
      <c r="L34" s="654"/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5">WEEKDAY(A34,2)</f>
        <v>6</v>
      </c>
    </row>
    <row r="35" spans="1:22" ht="15.75" thickBot="1" x14ac:dyDescent="0.3">
      <c r="A35" s="651">
        <v>44654</v>
      </c>
      <c r="B35" s="658" t="str">
        <f t="shared" si="0"/>
        <v>Ne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4"/>
      <c r="I35" s="657"/>
      <c r="J35" s="654"/>
      <c r="K35" s="658"/>
      <c r="L35" s="654"/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5"/>
        <v>7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3.4583333333333339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713502-EDA5-894D-8A6A-4101A791D448}">
  <dimension ref="A1:V45"/>
  <sheetViews>
    <sheetView topLeftCell="U1" zoomScaleNormal="60" zoomScaleSheetLayoutView="100" workbookViewId="0">
      <selection activeCell="X30" sqref="X30:X34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.140625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425781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44652</v>
      </c>
      <c r="B2" s="656" t="str">
        <f t="shared" ref="B2:B35" si="0">CHOOSE(WEEKDAY(V2),"Po","Út","St","Čt","Pá","So","Ne")</f>
        <v>Pá</v>
      </c>
      <c r="C2" s="748">
        <f t="shared" ref="C2:C35" si="1">G2-E2-F2</f>
        <v>0</v>
      </c>
      <c r="D2" s="836">
        <f t="shared" ref="D2:D35" si="2">(N2*C2)*24</f>
        <v>0</v>
      </c>
      <c r="E2" s="723"/>
      <c r="F2" s="726"/>
      <c r="G2" s="726"/>
      <c r="H2" s="654"/>
      <c r="I2" s="657"/>
      <c r="J2" s="654"/>
      <c r="K2" s="656"/>
      <c r="L2" s="654"/>
      <c r="M2" s="657"/>
      <c r="N2" s="713"/>
      <c r="O2" s="834">
        <f>(O4+O6)</f>
        <v>231.5</v>
      </c>
      <c r="P2" s="716">
        <f t="shared" ref="P2" si="3">P4+P6</f>
        <v>231.5</v>
      </c>
      <c r="Q2" s="853">
        <f>'03hod22'!Q5</f>
        <v>4665</v>
      </c>
      <c r="R2" s="644" t="s">
        <v>17</v>
      </c>
      <c r="S2" s="644" t="str">
        <f>'03hod22'!S5</f>
        <v>Výplata za Březen</v>
      </c>
      <c r="T2" s="875">
        <f>'03hod22'!T5</f>
        <v>44671</v>
      </c>
      <c r="U2" s="722">
        <f>T7*20</f>
        <v>0</v>
      </c>
      <c r="V2" s="642">
        <f t="shared" ref="V2:V32" si="4">WEEKDAY(A2,2)</f>
        <v>5</v>
      </c>
    </row>
    <row r="3" spans="1:22" ht="15.75" thickBot="1" x14ac:dyDescent="0.3">
      <c r="A3" s="651">
        <v>44653</v>
      </c>
      <c r="B3" s="657" t="str">
        <f t="shared" si="0"/>
        <v>So</v>
      </c>
      <c r="C3" s="748">
        <f t="shared" si="1"/>
        <v>0</v>
      </c>
      <c r="D3" s="837">
        <f t="shared" si="2"/>
        <v>0</v>
      </c>
      <c r="E3" s="723"/>
      <c r="F3" s="726"/>
      <c r="G3" s="726"/>
      <c r="H3" s="654"/>
      <c r="I3" s="657"/>
      <c r="J3" s="654"/>
      <c r="K3" s="657"/>
      <c r="L3" s="654"/>
      <c r="M3" s="657"/>
      <c r="N3" s="714"/>
      <c r="O3" s="711" t="s">
        <v>19</v>
      </c>
      <c r="P3" s="717" t="s">
        <v>19</v>
      </c>
      <c r="Q3" s="738">
        <v>38000</v>
      </c>
      <c r="R3" s="611" t="s">
        <v>17</v>
      </c>
      <c r="S3" s="611" t="s">
        <v>130</v>
      </c>
      <c r="T3" s="874">
        <v>44676</v>
      </c>
      <c r="U3" s="718"/>
      <c r="V3" s="642">
        <f t="shared" si="4"/>
        <v>6</v>
      </c>
    </row>
    <row r="4" spans="1:22" ht="15.75" thickBot="1" x14ac:dyDescent="0.3">
      <c r="A4" s="651">
        <v>44654</v>
      </c>
      <c r="B4" s="657" t="str">
        <f t="shared" si="0"/>
        <v>Ne</v>
      </c>
      <c r="C4" s="748">
        <f t="shared" si="1"/>
        <v>0</v>
      </c>
      <c r="D4" s="837">
        <f t="shared" si="2"/>
        <v>0</v>
      </c>
      <c r="E4" s="723"/>
      <c r="F4" s="726"/>
      <c r="G4" s="726"/>
      <c r="H4" s="654"/>
      <c r="I4" s="657"/>
      <c r="J4" s="654"/>
      <c r="K4" s="657"/>
      <c r="L4" s="654"/>
      <c r="M4" s="657"/>
      <c r="N4" s="714"/>
      <c r="O4" s="835">
        <f>(O40*24)+115</f>
        <v>231.5</v>
      </c>
      <c r="P4" s="717">
        <v>231.5</v>
      </c>
      <c r="Q4" s="738">
        <v>0</v>
      </c>
      <c r="R4" s="611" t="s">
        <v>17</v>
      </c>
      <c r="S4" s="611" t="s">
        <v>210</v>
      </c>
      <c r="T4" s="646"/>
      <c r="U4" s="718"/>
      <c r="V4" s="642">
        <f t="shared" si="4"/>
        <v>7</v>
      </c>
    </row>
    <row r="5" spans="1:22" ht="15.75" thickBot="1" x14ac:dyDescent="0.3">
      <c r="A5" s="651">
        <v>44655</v>
      </c>
      <c r="B5" s="657" t="str">
        <f t="shared" si="0"/>
        <v>Po</v>
      </c>
      <c r="C5" s="748">
        <f t="shared" si="1"/>
        <v>0.41666666666666663</v>
      </c>
      <c r="D5" s="837">
        <f t="shared" si="2"/>
        <v>80</v>
      </c>
      <c r="E5" s="723">
        <v>0.33333333333333331</v>
      </c>
      <c r="F5" s="726">
        <f>TIME(1,0,0)</f>
        <v>4.1666666666666664E-2</v>
      </c>
      <c r="G5" s="727">
        <v>0.79166666666666663</v>
      </c>
      <c r="H5" s="654" t="s">
        <v>476</v>
      </c>
      <c r="I5" s="657" t="s">
        <v>481</v>
      </c>
      <c r="J5" s="654" t="s">
        <v>475</v>
      </c>
      <c r="K5" s="657"/>
      <c r="L5" s="654" t="s">
        <v>15</v>
      </c>
      <c r="M5" s="657">
        <v>45</v>
      </c>
      <c r="N5" s="714">
        <v>8</v>
      </c>
      <c r="O5" s="711" t="s">
        <v>14</v>
      </c>
      <c r="P5" s="717" t="s">
        <v>14</v>
      </c>
      <c r="Q5" s="738">
        <v>11909</v>
      </c>
      <c r="R5" s="611" t="s">
        <v>17</v>
      </c>
      <c r="S5" s="611" t="s">
        <v>328</v>
      </c>
      <c r="T5" s="874">
        <v>44694</v>
      </c>
      <c r="U5" s="718"/>
      <c r="V5" s="642">
        <f t="shared" si="4"/>
        <v>1</v>
      </c>
    </row>
    <row r="6" spans="1:22" ht="15.75" thickBot="1" x14ac:dyDescent="0.3">
      <c r="A6" s="651">
        <v>44656</v>
      </c>
      <c r="B6" s="657" t="str">
        <f t="shared" si="0"/>
        <v>Út</v>
      </c>
      <c r="C6" s="748">
        <f t="shared" si="1"/>
        <v>0.41666666666666663</v>
      </c>
      <c r="D6" s="837">
        <f t="shared" si="2"/>
        <v>80</v>
      </c>
      <c r="E6" s="724">
        <v>0.33333333333333331</v>
      </c>
      <c r="F6" s="726">
        <f>TIME(1,0,0)</f>
        <v>4.1666666666666664E-2</v>
      </c>
      <c r="G6" s="727">
        <v>0.79166666666666663</v>
      </c>
      <c r="H6" s="654" t="s">
        <v>476</v>
      </c>
      <c r="I6" s="657" t="s">
        <v>481</v>
      </c>
      <c r="J6" s="654" t="s">
        <v>475</v>
      </c>
      <c r="K6" s="657"/>
      <c r="L6" s="654" t="s">
        <v>15</v>
      </c>
      <c r="M6" s="657">
        <v>45</v>
      </c>
      <c r="N6" s="714">
        <v>8</v>
      </c>
      <c r="O6" s="835">
        <f>O41*24</f>
        <v>0</v>
      </c>
      <c r="P6" s="717">
        <v>0</v>
      </c>
      <c r="Q6" s="712" t="s">
        <v>130</v>
      </c>
      <c r="R6" s="647"/>
      <c r="S6" s="647" t="s">
        <v>48</v>
      </c>
      <c r="T6" s="648"/>
      <c r="U6" s="718"/>
      <c r="V6" s="642">
        <f t="shared" si="4"/>
        <v>2</v>
      </c>
    </row>
    <row r="7" spans="1:22" ht="15.75" thickBot="1" x14ac:dyDescent="0.3">
      <c r="A7" s="651">
        <v>44657</v>
      </c>
      <c r="B7" s="657" t="str">
        <f t="shared" si="0"/>
        <v>St</v>
      </c>
      <c r="C7" s="748">
        <f t="shared" si="1"/>
        <v>0.41666666666666663</v>
      </c>
      <c r="D7" s="837">
        <f t="shared" si="2"/>
        <v>80</v>
      </c>
      <c r="E7" s="723">
        <v>0.33333333333333331</v>
      </c>
      <c r="F7" s="726">
        <f>TIME(1,0,0)</f>
        <v>4.1666666666666664E-2</v>
      </c>
      <c r="G7" s="727">
        <v>0.79166666666666663</v>
      </c>
      <c r="H7" s="654" t="s">
        <v>476</v>
      </c>
      <c r="I7" s="657" t="s">
        <v>481</v>
      </c>
      <c r="J7" s="654" t="s">
        <v>475</v>
      </c>
      <c r="K7" s="657"/>
      <c r="L7" s="654" t="s">
        <v>15</v>
      </c>
      <c r="M7" s="657">
        <v>45</v>
      </c>
      <c r="N7" s="714">
        <v>8</v>
      </c>
      <c r="O7" s="711" t="s">
        <v>20</v>
      </c>
      <c r="P7" s="646" t="s">
        <v>20</v>
      </c>
      <c r="Q7" s="924">
        <f>Q3</f>
        <v>38000</v>
      </c>
      <c r="R7" s="718"/>
      <c r="S7" s="718"/>
      <c r="T7" s="718"/>
      <c r="U7" s="718"/>
      <c r="V7" s="642">
        <f t="shared" si="4"/>
        <v>3</v>
      </c>
    </row>
    <row r="8" spans="1:22" ht="15.75" thickBot="1" x14ac:dyDescent="0.3">
      <c r="A8" s="651">
        <v>44658</v>
      </c>
      <c r="B8" s="657" t="str">
        <f t="shared" si="0"/>
        <v>Čt</v>
      </c>
      <c r="C8" s="748">
        <f t="shared" si="1"/>
        <v>0.4375</v>
      </c>
      <c r="D8" s="837">
        <f t="shared" si="2"/>
        <v>84</v>
      </c>
      <c r="E8" s="723">
        <v>0.33333333333333331</v>
      </c>
      <c r="F8" s="726">
        <f>TIME(0,30,0)</f>
        <v>2.0833333333333332E-2</v>
      </c>
      <c r="G8" s="727">
        <v>0.79166666666666663</v>
      </c>
      <c r="H8" s="654" t="s">
        <v>476</v>
      </c>
      <c r="I8" s="657" t="s">
        <v>481</v>
      </c>
      <c r="J8" s="654" t="s">
        <v>475</v>
      </c>
      <c r="K8" s="657"/>
      <c r="L8" s="654" t="s">
        <v>15</v>
      </c>
      <c r="M8" s="657">
        <v>45</v>
      </c>
      <c r="N8" s="714">
        <v>8</v>
      </c>
      <c r="O8" s="711" t="s">
        <v>22</v>
      </c>
      <c r="P8" s="646" t="s">
        <v>22</v>
      </c>
      <c r="Q8" s="657" t="s">
        <v>488</v>
      </c>
      <c r="R8" s="718"/>
      <c r="S8" s="718"/>
      <c r="T8" s="718"/>
      <c r="U8" s="718"/>
      <c r="V8" s="642">
        <f t="shared" si="4"/>
        <v>4</v>
      </c>
    </row>
    <row r="9" spans="1:22" ht="15.75" thickBot="1" x14ac:dyDescent="0.3">
      <c r="A9" s="651">
        <v>44659</v>
      </c>
      <c r="B9" s="657" t="str">
        <f t="shared" si="0"/>
        <v>Pá</v>
      </c>
      <c r="C9" s="748">
        <f t="shared" si="1"/>
        <v>0.4375</v>
      </c>
      <c r="D9" s="837">
        <f t="shared" si="2"/>
        <v>84</v>
      </c>
      <c r="E9" s="723">
        <v>0.33333333333333331</v>
      </c>
      <c r="F9" s="726">
        <f>TIME(0,30,0)</f>
        <v>2.0833333333333332E-2</v>
      </c>
      <c r="G9" s="726">
        <v>0.79166666666666663</v>
      </c>
      <c r="H9" s="654" t="s">
        <v>476</v>
      </c>
      <c r="I9" s="657" t="s">
        <v>481</v>
      </c>
      <c r="J9" s="654" t="s">
        <v>475</v>
      </c>
      <c r="K9" s="657"/>
      <c r="L9" s="654" t="s">
        <v>15</v>
      </c>
      <c r="M9" s="657">
        <v>45</v>
      </c>
      <c r="N9" s="714">
        <v>8</v>
      </c>
      <c r="O9" s="711" t="s">
        <v>23</v>
      </c>
      <c r="P9" s="646" t="s">
        <v>23</v>
      </c>
      <c r="Q9" s="851">
        <f>SUM(Q2:Q4)</f>
        <v>42665</v>
      </c>
      <c r="R9" s="718"/>
      <c r="S9" s="718"/>
      <c r="T9" s="718"/>
      <c r="U9" s="718"/>
      <c r="V9" s="642">
        <f t="shared" si="4"/>
        <v>5</v>
      </c>
    </row>
    <row r="10" spans="1:22" ht="15.75" thickBot="1" x14ac:dyDescent="0.3">
      <c r="A10" s="651">
        <v>44660</v>
      </c>
      <c r="B10" s="657" t="str">
        <f t="shared" si="0"/>
        <v>So</v>
      </c>
      <c r="C10" s="748">
        <f t="shared" si="1"/>
        <v>0.3125</v>
      </c>
      <c r="D10" s="837">
        <f t="shared" si="2"/>
        <v>60</v>
      </c>
      <c r="E10" s="723">
        <v>0.33333333333333331</v>
      </c>
      <c r="F10" s="726">
        <f>TIME(0,30,0)</f>
        <v>2.0833333333333332E-2</v>
      </c>
      <c r="G10" s="726">
        <v>0.66666666666666663</v>
      </c>
      <c r="H10" s="654" t="s">
        <v>476</v>
      </c>
      <c r="I10" s="657" t="s">
        <v>481</v>
      </c>
      <c r="J10" s="654" t="s">
        <v>475</v>
      </c>
      <c r="K10" s="657"/>
      <c r="L10" s="654" t="s">
        <v>15</v>
      </c>
      <c r="M10" s="657">
        <v>45</v>
      </c>
      <c r="N10" s="714">
        <v>8</v>
      </c>
      <c r="O10" s="738">
        <f>(O2*380)+U2</f>
        <v>87970</v>
      </c>
      <c r="P10" s="747">
        <f>SUM(P2*380)</f>
        <v>87970</v>
      </c>
      <c r="Q10" s="719"/>
      <c r="R10" s="718"/>
      <c r="S10" s="718"/>
      <c r="T10" s="718"/>
      <c r="U10" s="718"/>
      <c r="V10" s="642">
        <f t="shared" si="4"/>
        <v>6</v>
      </c>
    </row>
    <row r="11" spans="1:22" ht="15.75" thickBot="1" x14ac:dyDescent="0.3">
      <c r="A11" s="651">
        <v>44661</v>
      </c>
      <c r="B11" s="657" t="str">
        <f t="shared" si="0"/>
        <v>Ne</v>
      </c>
      <c r="C11" s="748">
        <f t="shared" si="1"/>
        <v>0</v>
      </c>
      <c r="D11" s="837">
        <f t="shared" si="2"/>
        <v>0</v>
      </c>
      <c r="E11" s="723"/>
      <c r="F11" s="726"/>
      <c r="G11" s="726"/>
      <c r="H11" s="654" t="s">
        <v>476</v>
      </c>
      <c r="I11" s="657" t="s">
        <v>481</v>
      </c>
      <c r="J11" s="654" t="s">
        <v>475</v>
      </c>
      <c r="K11" s="657"/>
      <c r="L11" s="654" t="s">
        <v>15</v>
      </c>
      <c r="M11" s="657">
        <v>45</v>
      </c>
      <c r="N11" s="714">
        <v>8</v>
      </c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4"/>
        <v>7</v>
      </c>
    </row>
    <row r="12" spans="1:22" ht="15.75" thickBot="1" x14ac:dyDescent="0.3">
      <c r="A12" s="651">
        <v>44662</v>
      </c>
      <c r="B12" s="657" t="str">
        <f t="shared" si="0"/>
        <v>Po</v>
      </c>
      <c r="C12" s="748">
        <f>G12-E12-F12</f>
        <v>0.41666666666666663</v>
      </c>
      <c r="D12" s="837">
        <f t="shared" si="2"/>
        <v>80</v>
      </c>
      <c r="E12" s="723">
        <v>0.33333333333333331</v>
      </c>
      <c r="F12" s="726">
        <f>TIME(1,0,0)</f>
        <v>4.1666666666666664E-2</v>
      </c>
      <c r="G12" s="727">
        <v>0.79166666666666663</v>
      </c>
      <c r="H12" s="654" t="s">
        <v>476</v>
      </c>
      <c r="I12" s="657" t="s">
        <v>481</v>
      </c>
      <c r="J12" s="654" t="s">
        <v>475</v>
      </c>
      <c r="K12" s="657"/>
      <c r="L12" s="654" t="s">
        <v>15</v>
      </c>
      <c r="M12" s="657">
        <v>45</v>
      </c>
      <c r="N12" s="714">
        <v>8</v>
      </c>
      <c r="O12" s="738">
        <f>(O10+O20+O18-O22)-O14-P24</f>
        <v>17160</v>
      </c>
      <c r="P12" s="747">
        <f>(P10+P18+P20-P22)-P14-P24</f>
        <v>55160</v>
      </c>
      <c r="Q12" s="718"/>
      <c r="R12" s="718"/>
      <c r="S12" s="718"/>
      <c r="T12" s="718"/>
      <c r="U12" s="718"/>
      <c r="V12" s="642">
        <f t="shared" si="4"/>
        <v>1</v>
      </c>
    </row>
    <row r="13" spans="1:22" ht="15.75" thickBot="1" x14ac:dyDescent="0.3">
      <c r="A13" s="651">
        <v>44663</v>
      </c>
      <c r="B13" s="657" t="str">
        <f t="shared" si="0"/>
        <v>Út</v>
      </c>
      <c r="C13" s="748">
        <f t="shared" si="1"/>
        <v>0.4375</v>
      </c>
      <c r="D13" s="837">
        <f t="shared" si="2"/>
        <v>84</v>
      </c>
      <c r="E13" s="724">
        <v>0.33333333333333331</v>
      </c>
      <c r="F13" s="726">
        <f>TIME(0,30,0)</f>
        <v>2.0833333333333332E-2</v>
      </c>
      <c r="G13" s="727">
        <v>0.79166666666666663</v>
      </c>
      <c r="H13" s="654" t="s">
        <v>476</v>
      </c>
      <c r="I13" s="657" t="s">
        <v>481</v>
      </c>
      <c r="J13" s="654" t="s">
        <v>475</v>
      </c>
      <c r="K13" s="657"/>
      <c r="L13" s="654" t="s">
        <v>15</v>
      </c>
      <c r="M13" s="657">
        <v>45</v>
      </c>
      <c r="N13" s="714">
        <v>8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2</v>
      </c>
    </row>
    <row r="14" spans="1:22" ht="15.75" thickBot="1" x14ac:dyDescent="0.3">
      <c r="A14" s="651">
        <v>44664</v>
      </c>
      <c r="B14" s="657" t="str">
        <f t="shared" si="0"/>
        <v>St</v>
      </c>
      <c r="C14" s="748">
        <f t="shared" si="1"/>
        <v>0.41666666666666663</v>
      </c>
      <c r="D14" s="837">
        <f t="shared" si="2"/>
        <v>80</v>
      </c>
      <c r="E14" s="723">
        <v>0.33333333333333331</v>
      </c>
      <c r="F14" s="726">
        <f>TIME(1,0,0)</f>
        <v>4.1666666666666664E-2</v>
      </c>
      <c r="G14" s="727">
        <v>0.79166666666666663</v>
      </c>
      <c r="H14" s="654" t="s">
        <v>476</v>
      </c>
      <c r="I14" s="657" t="s">
        <v>481</v>
      </c>
      <c r="J14" s="654" t="s">
        <v>475</v>
      </c>
      <c r="K14" s="657"/>
      <c r="L14" s="654" t="s">
        <v>15</v>
      </c>
      <c r="M14" s="657">
        <v>45</v>
      </c>
      <c r="N14" s="714">
        <v>8</v>
      </c>
      <c r="O14" s="738">
        <f>(O16*24.61)</f>
        <v>9844</v>
      </c>
      <c r="P14" s="747">
        <f>(P16*24.61)</f>
        <v>9844</v>
      </c>
      <c r="Q14" s="923" t="s">
        <v>458</v>
      </c>
      <c r="R14" s="1004">
        <f>P14+P22-P18</f>
        <v>9844</v>
      </c>
      <c r="S14" s="1007"/>
      <c r="T14" s="923" t="s">
        <v>462</v>
      </c>
      <c r="U14" s="1004">
        <f>P14+P22</f>
        <v>9844</v>
      </c>
      <c r="V14" s="642">
        <f t="shared" si="4"/>
        <v>3</v>
      </c>
    </row>
    <row r="15" spans="1:22" ht="15.75" thickBot="1" x14ac:dyDescent="0.3">
      <c r="A15" s="651">
        <v>44665</v>
      </c>
      <c r="B15" s="657" t="str">
        <f t="shared" si="0"/>
        <v>Čt</v>
      </c>
      <c r="C15" s="748">
        <f t="shared" si="1"/>
        <v>0.41666666666666663</v>
      </c>
      <c r="D15" s="837">
        <f t="shared" si="2"/>
        <v>80</v>
      </c>
      <c r="E15" s="723">
        <v>0.33333333333333331</v>
      </c>
      <c r="F15" s="726">
        <f>TIME(1,0,0)</f>
        <v>4.1666666666666664E-2</v>
      </c>
      <c r="G15" s="727">
        <v>0.79166666666666663</v>
      </c>
      <c r="H15" s="654" t="s">
        <v>476</v>
      </c>
      <c r="I15" s="657" t="s">
        <v>481</v>
      </c>
      <c r="J15" s="654" t="s">
        <v>475</v>
      </c>
      <c r="K15" s="657"/>
      <c r="L15" s="654" t="s">
        <v>15</v>
      </c>
      <c r="M15" s="657">
        <v>45</v>
      </c>
      <c r="N15" s="714">
        <v>8</v>
      </c>
      <c r="O15" s="711" t="s">
        <v>29</v>
      </c>
      <c r="P15" s="646" t="s">
        <v>29</v>
      </c>
      <c r="Q15" s="1001" t="s">
        <v>459</v>
      </c>
      <c r="R15" s="1002">
        <f>P10</f>
        <v>87970</v>
      </c>
      <c r="S15" s="1008"/>
      <c r="T15" s="1001" t="s">
        <v>463</v>
      </c>
      <c r="U15" s="1002">
        <f>P10+P18+P20+O28</f>
        <v>126687</v>
      </c>
      <c r="V15" s="642">
        <f t="shared" si="4"/>
        <v>4</v>
      </c>
    </row>
    <row r="16" spans="1:22" ht="15.75" thickBot="1" x14ac:dyDescent="0.3">
      <c r="A16" s="651">
        <v>44666</v>
      </c>
      <c r="B16" s="657" t="str">
        <f t="shared" si="0"/>
        <v>Pá</v>
      </c>
      <c r="C16" s="748">
        <f t="shared" si="1"/>
        <v>0.41666666666666663</v>
      </c>
      <c r="D16" s="837">
        <f t="shared" si="2"/>
        <v>80</v>
      </c>
      <c r="E16" s="723">
        <v>0.33333333333333331</v>
      </c>
      <c r="F16" s="726">
        <f>TIME(1,0,0)</f>
        <v>4.1666666666666664E-2</v>
      </c>
      <c r="G16" s="726">
        <v>0.79166666666666663</v>
      </c>
      <c r="H16" s="654" t="s">
        <v>476</v>
      </c>
      <c r="I16" s="657" t="s">
        <v>481</v>
      </c>
      <c r="J16" s="654" t="s">
        <v>475</v>
      </c>
      <c r="K16" s="657"/>
      <c r="L16" s="654" t="s">
        <v>15</v>
      </c>
      <c r="M16" s="657">
        <v>45</v>
      </c>
      <c r="N16" s="714">
        <v>8</v>
      </c>
      <c r="O16" s="893">
        <v>400</v>
      </c>
      <c r="P16" s="894">
        <v>400</v>
      </c>
      <c r="Q16" s="1001"/>
      <c r="R16" s="1003">
        <f>R15-R14</f>
        <v>78126</v>
      </c>
      <c r="S16" s="1008"/>
      <c r="T16" s="1001" t="s">
        <v>513</v>
      </c>
      <c r="U16" s="1002">
        <f>U15-U14</f>
        <v>116843</v>
      </c>
      <c r="V16" s="642">
        <f t="shared" si="4"/>
        <v>5</v>
      </c>
    </row>
    <row r="17" spans="1:22" ht="15.75" thickBot="1" x14ac:dyDescent="0.3">
      <c r="A17" s="651">
        <v>44667</v>
      </c>
      <c r="B17" s="657" t="str">
        <f t="shared" si="0"/>
        <v>So</v>
      </c>
      <c r="C17" s="748">
        <f t="shared" si="1"/>
        <v>0.3125</v>
      </c>
      <c r="D17" s="837">
        <f t="shared" si="2"/>
        <v>60</v>
      </c>
      <c r="E17" s="723">
        <v>0.33333333333333331</v>
      </c>
      <c r="F17" s="726">
        <f>TIME(0,30,0)</f>
        <v>2.0833333333333332E-2</v>
      </c>
      <c r="G17" s="726">
        <v>0.66666666666666663</v>
      </c>
      <c r="H17" s="654" t="s">
        <v>476</v>
      </c>
      <c r="I17" s="657" t="s">
        <v>481</v>
      </c>
      <c r="J17" s="654" t="s">
        <v>475</v>
      </c>
      <c r="K17" s="657"/>
      <c r="L17" s="654" t="s">
        <v>15</v>
      </c>
      <c r="M17" s="657">
        <v>45</v>
      </c>
      <c r="N17" s="714">
        <v>8</v>
      </c>
      <c r="O17" s="711" t="s">
        <v>31</v>
      </c>
      <c r="P17" s="646" t="s">
        <v>31</v>
      </c>
      <c r="Q17" s="1002">
        <f>R16-Q5-Q7</f>
        <v>28217</v>
      </c>
      <c r="R17" s="1001"/>
      <c r="S17" s="1009"/>
      <c r="T17" s="1001" t="s">
        <v>514</v>
      </c>
      <c r="U17" s="1002">
        <f>U16-Q5-Q7</f>
        <v>66934</v>
      </c>
      <c r="V17" s="642">
        <f t="shared" si="4"/>
        <v>6</v>
      </c>
    </row>
    <row r="18" spans="1:22" ht="15.75" thickBot="1" x14ac:dyDescent="0.3">
      <c r="A18" s="651">
        <v>44668</v>
      </c>
      <c r="B18" s="657" t="str">
        <f t="shared" si="0"/>
        <v>Ne</v>
      </c>
      <c r="C18" s="748">
        <f t="shared" si="1"/>
        <v>0</v>
      </c>
      <c r="D18" s="837">
        <f t="shared" si="2"/>
        <v>0</v>
      </c>
      <c r="E18" s="723"/>
      <c r="F18" s="726"/>
      <c r="G18" s="726"/>
      <c r="H18" s="654" t="s">
        <v>476</v>
      </c>
      <c r="I18" s="657" t="s">
        <v>481</v>
      </c>
      <c r="J18" s="654" t="s">
        <v>475</v>
      </c>
      <c r="K18" s="657"/>
      <c r="L18" s="654" t="s">
        <v>15</v>
      </c>
      <c r="M18" s="657">
        <v>45</v>
      </c>
      <c r="N18" s="714">
        <v>8</v>
      </c>
      <c r="O18" s="738"/>
      <c r="P18" s="747"/>
      <c r="Q18" s="1001"/>
      <c r="R18" s="1001"/>
      <c r="S18" s="1008"/>
      <c r="T18" s="1001"/>
      <c r="U18" s="1001"/>
      <c r="V18" s="642">
        <f t="shared" si="4"/>
        <v>7</v>
      </c>
    </row>
    <row r="19" spans="1:22" ht="15.75" thickBot="1" x14ac:dyDescent="0.3">
      <c r="A19" s="651">
        <v>44669</v>
      </c>
      <c r="B19" s="657" t="str">
        <f t="shared" si="0"/>
        <v>Po</v>
      </c>
      <c r="C19" s="748">
        <f t="shared" si="1"/>
        <v>0</v>
      </c>
      <c r="D19" s="837">
        <f t="shared" si="2"/>
        <v>0</v>
      </c>
      <c r="E19" s="723"/>
      <c r="F19" s="726"/>
      <c r="G19" s="726"/>
      <c r="H19" s="654" t="s">
        <v>476</v>
      </c>
      <c r="I19" s="657" t="s">
        <v>481</v>
      </c>
      <c r="J19" s="654" t="s">
        <v>475</v>
      </c>
      <c r="K19" s="657"/>
      <c r="L19" s="654" t="s">
        <v>15</v>
      </c>
      <c r="M19" s="657">
        <v>45</v>
      </c>
      <c r="N19" s="714">
        <v>8</v>
      </c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4"/>
        <v>1</v>
      </c>
    </row>
    <row r="20" spans="1:22" ht="15.75" thickBot="1" x14ac:dyDescent="0.3">
      <c r="A20" s="651">
        <v>44670</v>
      </c>
      <c r="B20" s="657" t="str">
        <f t="shared" si="0"/>
        <v>Út</v>
      </c>
      <c r="C20" s="748">
        <f t="shared" si="1"/>
        <v>0</v>
      </c>
      <c r="D20" s="837">
        <f t="shared" si="2"/>
        <v>0</v>
      </c>
      <c r="E20" s="724"/>
      <c r="F20" s="726"/>
      <c r="G20" s="727"/>
      <c r="H20" s="654" t="s">
        <v>476</v>
      </c>
      <c r="I20" s="657" t="s">
        <v>481</v>
      </c>
      <c r="J20" s="654" t="s">
        <v>475</v>
      </c>
      <c r="K20" s="657"/>
      <c r="L20" s="654" t="s">
        <v>15</v>
      </c>
      <c r="M20" s="657">
        <v>45</v>
      </c>
      <c r="N20" s="714">
        <v>8</v>
      </c>
      <c r="O20" s="738">
        <v>0</v>
      </c>
      <c r="P20" s="747">
        <v>0</v>
      </c>
      <c r="Q20" s="1001"/>
      <c r="R20" s="1001"/>
      <c r="S20" s="1008"/>
      <c r="T20" s="1001"/>
      <c r="U20" s="1001"/>
      <c r="V20" s="642">
        <f t="shared" si="4"/>
        <v>2</v>
      </c>
    </row>
    <row r="21" spans="1:22" ht="15.75" thickBot="1" x14ac:dyDescent="0.3">
      <c r="A21" s="651">
        <v>44671</v>
      </c>
      <c r="B21" s="657" t="str">
        <f t="shared" si="0"/>
        <v>St</v>
      </c>
      <c r="C21" s="748">
        <f t="shared" si="1"/>
        <v>0</v>
      </c>
      <c r="D21" s="837">
        <f t="shared" si="2"/>
        <v>0</v>
      </c>
      <c r="E21" s="724"/>
      <c r="F21" s="726"/>
      <c r="G21" s="727"/>
      <c r="H21" s="654" t="s">
        <v>476</v>
      </c>
      <c r="I21" s="657" t="s">
        <v>481</v>
      </c>
      <c r="J21" s="654" t="s">
        <v>475</v>
      </c>
      <c r="K21" s="657"/>
      <c r="L21" s="654" t="s">
        <v>15</v>
      </c>
      <c r="M21" s="657">
        <v>45</v>
      </c>
      <c r="N21" s="714">
        <v>8</v>
      </c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4"/>
        <v>3</v>
      </c>
    </row>
    <row r="22" spans="1:22" ht="15.75" thickBot="1" x14ac:dyDescent="0.3">
      <c r="A22" s="651">
        <v>44672</v>
      </c>
      <c r="B22" s="657" t="str">
        <f t="shared" si="0"/>
        <v>Čt</v>
      </c>
      <c r="C22" s="748">
        <f t="shared" si="1"/>
        <v>0</v>
      </c>
      <c r="D22" s="837">
        <f t="shared" si="2"/>
        <v>0</v>
      </c>
      <c r="E22" s="724"/>
      <c r="F22" s="726"/>
      <c r="G22" s="727"/>
      <c r="H22" s="654" t="s">
        <v>476</v>
      </c>
      <c r="I22" s="657" t="s">
        <v>481</v>
      </c>
      <c r="J22" s="654" t="s">
        <v>475</v>
      </c>
      <c r="K22" s="657"/>
      <c r="L22" s="654" t="s">
        <v>15</v>
      </c>
      <c r="M22" s="657">
        <v>45</v>
      </c>
      <c r="N22" s="714">
        <v>8</v>
      </c>
      <c r="O22" s="738">
        <v>38000</v>
      </c>
      <c r="P22" s="747"/>
      <c r="Q22" s="1001"/>
      <c r="R22" s="1017"/>
      <c r="S22" s="718"/>
      <c r="T22" s="1001"/>
      <c r="U22" s="1001"/>
      <c r="V22" s="642">
        <f t="shared" si="4"/>
        <v>4</v>
      </c>
    </row>
    <row r="23" spans="1:22" ht="15.75" thickBot="1" x14ac:dyDescent="0.3">
      <c r="A23" s="651">
        <v>44673</v>
      </c>
      <c r="B23" s="657" t="str">
        <f t="shared" si="0"/>
        <v>Pá</v>
      </c>
      <c r="C23" s="748">
        <f t="shared" si="1"/>
        <v>0</v>
      </c>
      <c r="D23" s="837">
        <f t="shared" si="2"/>
        <v>0</v>
      </c>
      <c r="E23" s="724"/>
      <c r="F23" s="726"/>
      <c r="G23" s="727"/>
      <c r="H23" s="654" t="s">
        <v>476</v>
      </c>
      <c r="I23" s="657" t="s">
        <v>481</v>
      </c>
      <c r="J23" s="654" t="s">
        <v>475</v>
      </c>
      <c r="K23" s="657"/>
      <c r="L23" s="654" t="s">
        <v>15</v>
      </c>
      <c r="M23" s="657">
        <v>45</v>
      </c>
      <c r="N23" s="714">
        <v>8</v>
      </c>
      <c r="O23" s="897" t="s">
        <v>364</v>
      </c>
      <c r="P23" s="895" t="s">
        <v>363</v>
      </c>
      <c r="Q23" s="1015">
        <f>Q17-P24</f>
        <v>5251</v>
      </c>
      <c r="R23" s="1018"/>
      <c r="S23" s="1015">
        <f>U17-O26</f>
        <v>5251</v>
      </c>
      <c r="T23" s="1001"/>
      <c r="U23" s="1001"/>
      <c r="V23" s="642">
        <f t="shared" si="4"/>
        <v>5</v>
      </c>
    </row>
    <row r="24" spans="1:22" ht="15.75" thickBot="1" x14ac:dyDescent="0.3">
      <c r="A24" s="651">
        <v>44674</v>
      </c>
      <c r="B24" s="657" t="str">
        <f t="shared" si="0"/>
        <v>So</v>
      </c>
      <c r="C24" s="748">
        <f t="shared" si="1"/>
        <v>0</v>
      </c>
      <c r="D24" s="837">
        <f t="shared" si="2"/>
        <v>0</v>
      </c>
      <c r="E24" s="724"/>
      <c r="F24" s="726"/>
      <c r="G24" s="727"/>
      <c r="H24" s="654" t="s">
        <v>476</v>
      </c>
      <c r="I24" s="657" t="s">
        <v>481</v>
      </c>
      <c r="J24" s="654" t="s">
        <v>475</v>
      </c>
      <c r="K24" s="657"/>
      <c r="L24" s="654" t="s">
        <v>15</v>
      </c>
      <c r="M24" s="657">
        <v>45</v>
      </c>
      <c r="N24" s="714">
        <v>8</v>
      </c>
      <c r="O24" s="898">
        <f>P12-Q5</f>
        <v>43251</v>
      </c>
      <c r="P24" s="747">
        <f>O26-O28</f>
        <v>22966</v>
      </c>
      <c r="Q24" s="1020"/>
      <c r="R24" s="1019"/>
      <c r="S24" s="1006"/>
      <c r="T24" s="1006"/>
      <c r="U24" s="1006"/>
      <c r="V24" s="642">
        <f t="shared" si="4"/>
        <v>6</v>
      </c>
    </row>
    <row r="25" spans="1:22" ht="15.75" thickBot="1" x14ac:dyDescent="0.3">
      <c r="A25" s="651">
        <v>44675</v>
      </c>
      <c r="B25" s="657" t="str">
        <f t="shared" si="0"/>
        <v>Ne</v>
      </c>
      <c r="C25" s="748">
        <f t="shared" si="1"/>
        <v>0</v>
      </c>
      <c r="D25" s="837">
        <f t="shared" si="2"/>
        <v>0</v>
      </c>
      <c r="E25" s="724"/>
      <c r="F25" s="726"/>
      <c r="G25" s="727"/>
      <c r="H25" s="654"/>
      <c r="I25" s="657"/>
      <c r="J25" s="654"/>
      <c r="K25" s="657">
        <v>115</v>
      </c>
      <c r="L25" s="654"/>
      <c r="M25" s="657"/>
      <c r="N25" s="714"/>
      <c r="O25" s="711" t="s">
        <v>372</v>
      </c>
      <c r="P25" s="646"/>
      <c r="Q25" s="718"/>
      <c r="R25" s="718"/>
      <c r="S25" s="718"/>
      <c r="T25" s="718"/>
      <c r="U25" s="718"/>
      <c r="V25" s="642">
        <f t="shared" si="4"/>
        <v>7</v>
      </c>
    </row>
    <row r="26" spans="1:22" ht="15.75" thickBot="1" x14ac:dyDescent="0.3">
      <c r="A26" s="651">
        <v>44676</v>
      </c>
      <c r="B26" s="657" t="str">
        <f t="shared" si="0"/>
        <v>Po</v>
      </c>
      <c r="C26" s="748">
        <f t="shared" si="1"/>
        <v>0</v>
      </c>
      <c r="D26" s="837">
        <f t="shared" si="2"/>
        <v>0</v>
      </c>
      <c r="E26" s="724"/>
      <c r="F26" s="726"/>
      <c r="G26" s="727"/>
      <c r="H26" s="654"/>
      <c r="I26" s="657"/>
      <c r="J26" s="654"/>
      <c r="K26" s="657"/>
      <c r="L26" s="654"/>
      <c r="M26" s="657"/>
      <c r="N26" s="714"/>
      <c r="O26" s="738">
        <v>61683</v>
      </c>
      <c r="P26" s="747"/>
      <c r="Q26" s="718"/>
      <c r="R26" s="718"/>
      <c r="S26" s="718"/>
      <c r="T26" s="718"/>
      <c r="U26" s="718"/>
      <c r="V26" s="642">
        <f t="shared" si="4"/>
        <v>1</v>
      </c>
    </row>
    <row r="27" spans="1:22" ht="15.75" thickBot="1" x14ac:dyDescent="0.3">
      <c r="A27" s="651">
        <v>44677</v>
      </c>
      <c r="B27" s="657" t="str">
        <f t="shared" si="0"/>
        <v>Út</v>
      </c>
      <c r="C27" s="748">
        <f t="shared" si="1"/>
        <v>0</v>
      </c>
      <c r="D27" s="837">
        <f t="shared" si="2"/>
        <v>0</v>
      </c>
      <c r="E27" s="724"/>
      <c r="F27" s="726"/>
      <c r="G27" s="727"/>
      <c r="H27" s="654"/>
      <c r="I27" s="657"/>
      <c r="J27" s="654"/>
      <c r="K27" s="657"/>
      <c r="L27" s="654"/>
      <c r="M27" s="657"/>
      <c r="N27" s="714"/>
      <c r="O27" s="711" t="s">
        <v>373</v>
      </c>
      <c r="P27" s="646"/>
      <c r="Q27" s="718"/>
      <c r="R27" s="718"/>
      <c r="S27" s="718"/>
      <c r="T27" s="718"/>
      <c r="U27" s="718"/>
      <c r="V27" s="642">
        <f t="shared" si="4"/>
        <v>2</v>
      </c>
    </row>
    <row r="28" spans="1:22" ht="15.75" thickBot="1" x14ac:dyDescent="0.3">
      <c r="A28" s="651">
        <v>44678</v>
      </c>
      <c r="B28" s="657" t="str">
        <f t="shared" si="0"/>
        <v>St</v>
      </c>
      <c r="C28" s="748">
        <f t="shared" si="1"/>
        <v>0</v>
      </c>
      <c r="D28" s="837">
        <f t="shared" si="2"/>
        <v>0</v>
      </c>
      <c r="E28" s="724"/>
      <c r="F28" s="726"/>
      <c r="G28" s="727"/>
      <c r="H28" s="654"/>
      <c r="I28" s="657"/>
      <c r="J28" s="654"/>
      <c r="K28" s="657"/>
      <c r="L28" s="654"/>
      <c r="M28" s="657"/>
      <c r="N28" s="714"/>
      <c r="O28" s="738">
        <f>'03hod22'!O26</f>
        <v>38717</v>
      </c>
      <c r="P28" s="646"/>
      <c r="Q28" s="718"/>
      <c r="R28" s="718"/>
      <c r="S28" s="718"/>
      <c r="T28" s="718"/>
      <c r="U28" s="718"/>
      <c r="V28" s="642">
        <f t="shared" si="4"/>
        <v>3</v>
      </c>
    </row>
    <row r="29" spans="1:22" ht="15.75" thickBot="1" x14ac:dyDescent="0.3">
      <c r="A29" s="651">
        <v>44679</v>
      </c>
      <c r="B29" s="657" t="str">
        <f t="shared" si="0"/>
        <v>Čt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/>
      <c r="I29" s="657"/>
      <c r="J29" s="654"/>
      <c r="K29" s="657"/>
      <c r="L29" s="654"/>
      <c r="M29" s="657"/>
      <c r="N29" s="714"/>
      <c r="O29" s="712"/>
      <c r="P29" s="648"/>
      <c r="Q29" s="718"/>
      <c r="R29" s="718"/>
      <c r="S29" s="718"/>
      <c r="T29" s="718"/>
      <c r="U29" s="718"/>
      <c r="V29" s="642">
        <f t="shared" si="4"/>
        <v>4</v>
      </c>
    </row>
    <row r="30" spans="1:22" ht="15.75" thickBot="1" x14ac:dyDescent="0.3">
      <c r="A30" s="651">
        <v>44680</v>
      </c>
      <c r="B30" s="657" t="str">
        <f t="shared" si="0"/>
        <v>Pá</v>
      </c>
      <c r="C30" s="748">
        <f t="shared" si="1"/>
        <v>0</v>
      </c>
      <c r="D30" s="837">
        <f t="shared" si="2"/>
        <v>0</v>
      </c>
      <c r="E30" s="724"/>
      <c r="F30" s="726"/>
      <c r="G30" s="727"/>
      <c r="H30" s="654"/>
      <c r="I30" s="657"/>
      <c r="J30" s="654"/>
      <c r="K30" s="657"/>
      <c r="L30" s="654"/>
      <c r="M30" s="657"/>
      <c r="N30" s="714"/>
      <c r="O30" s="715"/>
      <c r="P30" s="720"/>
      <c r="Q30" s="718"/>
      <c r="R30" s="718"/>
      <c r="S30" s="718"/>
      <c r="T30" s="718"/>
      <c r="U30" s="718"/>
      <c r="V30" s="642">
        <f t="shared" si="4"/>
        <v>5</v>
      </c>
    </row>
    <row r="31" spans="1:22" ht="15.75" thickBot="1" x14ac:dyDescent="0.3">
      <c r="A31" s="651">
        <v>44681</v>
      </c>
      <c r="B31" s="657" t="str">
        <f t="shared" si="0"/>
        <v>So</v>
      </c>
      <c r="C31" s="748">
        <f t="shared" si="1"/>
        <v>0</v>
      </c>
      <c r="D31" s="837">
        <f t="shared" si="2"/>
        <v>0</v>
      </c>
      <c r="E31" s="724"/>
      <c r="F31" s="726"/>
      <c r="G31" s="727"/>
      <c r="H31" s="654"/>
      <c r="I31" s="657"/>
      <c r="J31" s="654"/>
      <c r="K31" s="657"/>
      <c r="L31" s="654"/>
      <c r="M31" s="657"/>
      <c r="N31" s="714"/>
      <c r="O31" s="649"/>
      <c r="P31" s="646"/>
      <c r="Q31" s="718"/>
      <c r="R31" s="718"/>
      <c r="S31" s="718"/>
      <c r="T31" s="718"/>
      <c r="U31" s="718"/>
      <c r="V31" s="642">
        <f t="shared" si="4"/>
        <v>6</v>
      </c>
    </row>
    <row r="32" spans="1:22" ht="15.75" thickBot="1" x14ac:dyDescent="0.3">
      <c r="A32" s="651">
        <v>44682</v>
      </c>
      <c r="B32" s="657" t="str">
        <f t="shared" si="0"/>
        <v>Ne</v>
      </c>
      <c r="C32" s="748">
        <f t="shared" si="1"/>
        <v>0</v>
      </c>
      <c r="D32" s="837">
        <f t="shared" si="2"/>
        <v>0</v>
      </c>
      <c r="E32" s="724"/>
      <c r="F32" s="726"/>
      <c r="G32" s="727"/>
      <c r="H32" s="654"/>
      <c r="I32" s="657"/>
      <c r="J32" s="654"/>
      <c r="K32" s="657"/>
      <c r="L32" s="654"/>
      <c r="M32" s="657"/>
      <c r="N32" s="714"/>
      <c r="O32" s="649"/>
      <c r="P32" s="646"/>
      <c r="Q32" s="718"/>
      <c r="R32" s="718"/>
      <c r="S32" s="718"/>
      <c r="T32" s="718"/>
      <c r="U32" s="718"/>
      <c r="V32" s="642">
        <f t="shared" si="4"/>
        <v>7</v>
      </c>
    </row>
    <row r="33" spans="1:22" ht="15.75" thickBot="1" x14ac:dyDescent="0.3">
      <c r="A33" s="651">
        <v>44683</v>
      </c>
      <c r="B33" s="657" t="str">
        <f t="shared" si="0"/>
        <v>Po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/>
      <c r="I33" s="657"/>
      <c r="J33" s="654"/>
      <c r="K33" s="657"/>
      <c r="L33" s="654"/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1</v>
      </c>
    </row>
    <row r="34" spans="1:22" ht="15.75" thickBot="1" x14ac:dyDescent="0.3">
      <c r="A34" s="651">
        <v>44684</v>
      </c>
      <c r="B34" s="657" t="str">
        <f t="shared" si="0"/>
        <v>Út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/>
      <c r="I34" s="657"/>
      <c r="J34" s="654"/>
      <c r="K34" s="657"/>
      <c r="L34" s="654"/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5">WEEKDAY(A34,2)</f>
        <v>2</v>
      </c>
    </row>
    <row r="35" spans="1:22" ht="15.75" thickBot="1" x14ac:dyDescent="0.3">
      <c r="A35" s="651">
        <v>44685</v>
      </c>
      <c r="B35" s="658" t="str">
        <f t="shared" si="0"/>
        <v>St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4"/>
      <c r="I35" s="657"/>
      <c r="J35" s="654"/>
      <c r="K35" s="658"/>
      <c r="L35" s="654"/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5"/>
        <v>3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SUM(C2:C31)</f>
        <v>4.854166666666667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0D1CA5-DA07-8647-94D0-6216A67E2842}">
  <dimension ref="A1:AK52"/>
  <sheetViews>
    <sheetView topLeftCell="Y1" zoomScaleNormal="60" zoomScaleSheetLayoutView="100" workbookViewId="0">
      <selection activeCell="Z4" sqref="Z4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42578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10.28515625" bestFit="1" customWidth="1"/>
    <col min="16" max="16" width="7.42578125" bestFit="1" customWidth="1"/>
    <col min="17" max="17" width="9.42578125" customWidth="1"/>
    <col min="18" max="18" width="10.5703125" bestFit="1" customWidth="1"/>
    <col min="19" max="19" width="9.42578125" bestFit="1" customWidth="1"/>
    <col min="20" max="20" width="10.28515625" bestFit="1" customWidth="1"/>
    <col min="21" max="21" width="13.140625" customWidth="1"/>
    <col min="22" max="22" width="10.28515625" bestFit="1" customWidth="1"/>
    <col min="23" max="24" width="10.28515625" customWidth="1"/>
    <col min="25" max="26" width="13.42578125" customWidth="1"/>
    <col min="27" max="27" width="16.5703125" customWidth="1"/>
    <col min="28" max="28" width="16.28515625" bestFit="1" customWidth="1"/>
    <col min="29" max="29" width="9.140625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503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483</v>
      </c>
      <c r="R2" s="966" t="s">
        <v>441</v>
      </c>
      <c r="S2" s="967" t="s">
        <v>55</v>
      </c>
      <c r="T2" s="966" t="s">
        <v>442</v>
      </c>
      <c r="U2" s="964" t="s">
        <v>484</v>
      </c>
      <c r="V2" s="966" t="s">
        <v>443</v>
      </c>
      <c r="W2" s="964" t="s">
        <v>490</v>
      </c>
      <c r="X2" s="966" t="s">
        <v>444</v>
      </c>
      <c r="Y2" s="964" t="s">
        <v>485</v>
      </c>
      <c r="Z2" s="966" t="s">
        <v>445</v>
      </c>
      <c r="AA2" s="964" t="s">
        <v>489</v>
      </c>
      <c r="AB2" s="966" t="s">
        <v>446</v>
      </c>
      <c r="AC2" s="964" t="s">
        <v>486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/>
      <c r="B3" s="979">
        <v>44695</v>
      </c>
      <c r="C3" s="945">
        <v>2408</v>
      </c>
      <c r="D3" s="619">
        <v>185.02</v>
      </c>
      <c r="E3" s="979">
        <v>44654</v>
      </c>
      <c r="F3" s="952"/>
      <c r="G3" s="975">
        <v>3.3</v>
      </c>
      <c r="H3" s="952">
        <v>2.2999999999999998</v>
      </c>
      <c r="I3" s="619"/>
      <c r="J3" s="978"/>
      <c r="K3" s="952"/>
      <c r="L3" s="959"/>
      <c r="M3" s="981" t="s">
        <v>498</v>
      </c>
      <c r="N3" s="952">
        <v>10.9</v>
      </c>
      <c r="O3" s="984">
        <f t="shared" ref="O3" si="0">AG35-AK6-AI3</f>
        <v>1373.6099999999997</v>
      </c>
      <c r="P3" s="945"/>
      <c r="Q3" s="984">
        <v>100</v>
      </c>
      <c r="R3" s="937"/>
      <c r="S3" s="984">
        <v>100</v>
      </c>
      <c r="T3" s="937">
        <v>44657</v>
      </c>
      <c r="U3" s="984">
        <v>50</v>
      </c>
      <c r="V3" s="937">
        <v>44657</v>
      </c>
      <c r="W3" s="989">
        <v>100</v>
      </c>
      <c r="X3" s="937">
        <v>44670</v>
      </c>
      <c r="Y3" s="989">
        <v>50</v>
      </c>
      <c r="Z3" s="937">
        <v>44657</v>
      </c>
      <c r="AA3" s="984">
        <v>50</v>
      </c>
      <c r="AB3" s="937">
        <v>44670</v>
      </c>
      <c r="AC3" s="990">
        <v>50</v>
      </c>
      <c r="AD3" s="937"/>
      <c r="AE3" s="993"/>
      <c r="AF3" s="1049">
        <v>44656</v>
      </c>
      <c r="AG3" s="968">
        <v>600</v>
      </c>
      <c r="AH3" s="299">
        <v>0</v>
      </c>
      <c r="AI3" s="300">
        <v>340</v>
      </c>
      <c r="AJ3" s="301">
        <f>AH6+AJ6</f>
        <v>2408</v>
      </c>
      <c r="AK3" s="302">
        <f>AK6+AI6</f>
        <v>6168.4000000000005</v>
      </c>
    </row>
    <row r="4" spans="1:37" ht="19.5" thickBot="1" x14ac:dyDescent="0.3">
      <c r="A4" s="681"/>
      <c r="B4" s="979"/>
      <c r="C4" s="946"/>
      <c r="D4" s="618">
        <v>99.2</v>
      </c>
      <c r="E4" s="979">
        <v>44660</v>
      </c>
      <c r="F4" s="953"/>
      <c r="G4" s="976">
        <v>5</v>
      </c>
      <c r="H4" s="953">
        <v>3.3</v>
      </c>
      <c r="I4" s="618"/>
      <c r="J4" s="979"/>
      <c r="K4" s="953"/>
      <c r="L4" s="960"/>
      <c r="M4" s="982" t="s">
        <v>499</v>
      </c>
      <c r="N4" s="953">
        <v>30.85</v>
      </c>
      <c r="O4" s="976"/>
      <c r="P4" s="946"/>
      <c r="Q4" s="986">
        <v>100</v>
      </c>
      <c r="R4" s="938">
        <v>44670</v>
      </c>
      <c r="S4" s="986">
        <v>100</v>
      </c>
      <c r="T4" s="938"/>
      <c r="U4" s="986">
        <v>50</v>
      </c>
      <c r="V4" s="938">
        <v>44657</v>
      </c>
      <c r="W4" s="990">
        <v>100</v>
      </c>
      <c r="X4" s="938">
        <v>44677</v>
      </c>
      <c r="Y4" s="990">
        <v>50</v>
      </c>
      <c r="Z4" s="938">
        <v>44657</v>
      </c>
      <c r="AA4" s="986">
        <v>50</v>
      </c>
      <c r="AB4" s="938">
        <v>44676</v>
      </c>
      <c r="AC4" s="1051">
        <v>200</v>
      </c>
      <c r="AD4" s="938"/>
      <c r="AE4" s="994"/>
      <c r="AF4" s="1048">
        <v>44656</v>
      </c>
      <c r="AG4" s="963">
        <v>600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81"/>
      <c r="B5" s="979"/>
      <c r="C5" s="946"/>
      <c r="D5" s="618"/>
      <c r="E5" s="979">
        <v>44666</v>
      </c>
      <c r="F5" s="953">
        <v>150</v>
      </c>
      <c r="G5" s="976">
        <v>2.2999999999999998</v>
      </c>
      <c r="H5" s="953">
        <v>5.2</v>
      </c>
      <c r="I5" s="618"/>
      <c r="J5" s="979"/>
      <c r="K5" s="953"/>
      <c r="L5" s="960"/>
      <c r="M5" s="982" t="s">
        <v>500</v>
      </c>
      <c r="N5" s="953">
        <v>71.900000000000006</v>
      </c>
      <c r="O5" s="976"/>
      <c r="P5" s="946"/>
      <c r="Q5" s="986">
        <v>50</v>
      </c>
      <c r="R5" s="938">
        <v>44673</v>
      </c>
      <c r="S5" s="986">
        <v>100</v>
      </c>
      <c r="T5" s="938">
        <v>44670</v>
      </c>
      <c r="U5" s="986">
        <v>200</v>
      </c>
      <c r="V5" s="938"/>
      <c r="W5" s="990">
        <v>50</v>
      </c>
      <c r="X5" s="938">
        <v>44683</v>
      </c>
      <c r="Y5" s="990">
        <v>200</v>
      </c>
      <c r="Z5" s="938"/>
      <c r="AA5" s="986">
        <v>50</v>
      </c>
      <c r="AB5" s="938">
        <v>44691</v>
      </c>
      <c r="AC5" s="1051">
        <v>50</v>
      </c>
      <c r="AD5" s="938"/>
      <c r="AE5" s="994"/>
      <c r="AF5" s="997">
        <v>44667</v>
      </c>
      <c r="AG5" s="963">
        <v>600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81"/>
      <c r="B6" s="979"/>
      <c r="C6" s="946"/>
      <c r="D6" s="618">
        <v>146</v>
      </c>
      <c r="E6" s="979">
        <v>44678</v>
      </c>
      <c r="F6" s="953"/>
      <c r="G6" s="976"/>
      <c r="H6" s="953"/>
      <c r="I6" s="618"/>
      <c r="J6" s="979"/>
      <c r="K6" s="953"/>
      <c r="L6" s="960"/>
      <c r="M6" s="982" t="s">
        <v>501</v>
      </c>
      <c r="N6" s="953">
        <v>13.9</v>
      </c>
      <c r="O6" s="976"/>
      <c r="P6" s="946"/>
      <c r="Q6" s="986">
        <v>50</v>
      </c>
      <c r="R6" s="938">
        <v>44675</v>
      </c>
      <c r="S6" s="986">
        <v>100</v>
      </c>
      <c r="T6" s="938">
        <v>44691</v>
      </c>
      <c r="U6" s="986">
        <v>50</v>
      </c>
      <c r="V6" s="938">
        <v>44670</v>
      </c>
      <c r="W6" s="990">
        <v>100</v>
      </c>
      <c r="X6" s="938">
        <v>44689</v>
      </c>
      <c r="Y6" s="990"/>
      <c r="Z6" s="938"/>
      <c r="AA6" s="986">
        <v>50</v>
      </c>
      <c r="AB6" s="938">
        <v>44693</v>
      </c>
      <c r="AC6" s="1050"/>
      <c r="AD6" s="938"/>
      <c r="AE6" s="994"/>
      <c r="AF6" s="1048">
        <v>44670</v>
      </c>
      <c r="AG6" s="963">
        <v>600</v>
      </c>
      <c r="AH6" s="612">
        <f>A35+L35</f>
        <v>0</v>
      </c>
      <c r="AI6" s="317">
        <f>D35+H35+K35+N35</f>
        <v>782.01</v>
      </c>
      <c r="AJ6" s="128">
        <f>L36+C35</f>
        <v>2408</v>
      </c>
      <c r="AK6" s="129">
        <f>F35+G35+I35+M35+Q35+S35+W35+Y35+AA35+AC35+Y38+Y41+AA38+AA41+AA44+AA47+U35+AC12</f>
        <v>5386.39</v>
      </c>
    </row>
    <row r="7" spans="1:37" ht="19.5" thickBot="1" x14ac:dyDescent="0.3">
      <c r="A7" s="681"/>
      <c r="B7" s="979"/>
      <c r="C7" s="946"/>
      <c r="D7" s="618">
        <v>100</v>
      </c>
      <c r="E7" s="979">
        <v>44680</v>
      </c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986">
        <v>100</v>
      </c>
      <c r="R7" s="938">
        <v>44676</v>
      </c>
      <c r="S7" s="986"/>
      <c r="T7" s="938"/>
      <c r="U7" s="986">
        <v>50</v>
      </c>
      <c r="V7" s="938"/>
      <c r="W7" s="990"/>
      <c r="X7" s="938"/>
      <c r="Y7" s="990"/>
      <c r="Z7" s="938"/>
      <c r="AA7" s="986"/>
      <c r="AB7" s="938"/>
      <c r="AC7" s="990"/>
      <c r="AD7" s="938"/>
      <c r="AE7" s="994"/>
      <c r="AF7" s="1048">
        <v>44675</v>
      </c>
      <c r="AG7" s="963">
        <v>500</v>
      </c>
      <c r="AH7" s="613" t="s">
        <v>66</v>
      </c>
      <c r="AI7" s="321" t="s">
        <v>67</v>
      </c>
    </row>
    <row r="8" spans="1:37" x14ac:dyDescent="0.25">
      <c r="A8" s="681"/>
      <c r="B8" s="979"/>
      <c r="C8" s="946"/>
      <c r="D8" s="618"/>
      <c r="E8" s="979">
        <v>44684</v>
      </c>
      <c r="F8" s="953">
        <v>100</v>
      </c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986">
        <v>100</v>
      </c>
      <c r="R8" s="938">
        <v>44679</v>
      </c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1048">
        <v>44675</v>
      </c>
      <c r="AG8" s="963">
        <v>300</v>
      </c>
      <c r="AH8" s="326">
        <v>0</v>
      </c>
      <c r="AI8" s="327">
        <f>E35</f>
        <v>0</v>
      </c>
    </row>
    <row r="9" spans="1:37" ht="15.75" thickBot="1" x14ac:dyDescent="0.3">
      <c r="A9" s="681"/>
      <c r="B9" s="979"/>
      <c r="C9" s="946"/>
      <c r="D9" s="618">
        <v>100</v>
      </c>
      <c r="E9" s="979">
        <v>44691</v>
      </c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>
        <v>100</v>
      </c>
      <c r="R9" s="938">
        <v>44683</v>
      </c>
      <c r="S9" s="976"/>
      <c r="T9" s="938"/>
      <c r="U9" s="986"/>
      <c r="V9" s="938"/>
      <c r="W9" s="990"/>
      <c r="X9" s="938"/>
      <c r="Y9" s="990"/>
      <c r="Z9" s="938"/>
      <c r="AA9" s="986"/>
      <c r="AB9" s="938"/>
      <c r="AC9" s="990"/>
      <c r="AD9" s="938"/>
      <c r="AE9" s="994"/>
      <c r="AF9" s="1048">
        <v>44684</v>
      </c>
      <c r="AG9" s="963">
        <v>1000</v>
      </c>
      <c r="AH9" s="1244">
        <f>AH8-AI8</f>
        <v>0</v>
      </c>
      <c r="AI9" s="1222"/>
    </row>
    <row r="10" spans="1:37" x14ac:dyDescent="0.25">
      <c r="A10" s="681"/>
      <c r="B10" s="979"/>
      <c r="C10" s="946"/>
      <c r="D10" s="618">
        <v>99.24</v>
      </c>
      <c r="E10" s="979">
        <v>44694</v>
      </c>
      <c r="F10" s="953"/>
      <c r="G10" s="976"/>
      <c r="H10" s="953"/>
      <c r="I10" s="618"/>
      <c r="J10" s="979"/>
      <c r="K10" s="953"/>
      <c r="L10" s="960"/>
      <c r="M10" s="982"/>
      <c r="N10" s="953"/>
      <c r="O10" s="976"/>
      <c r="P10" s="946"/>
      <c r="Q10" s="986">
        <v>50</v>
      </c>
      <c r="R10" s="938">
        <v>44684</v>
      </c>
      <c r="S10" s="976"/>
      <c r="T10" s="938"/>
      <c r="U10" s="986"/>
      <c r="V10" s="938"/>
      <c r="W10" s="990"/>
      <c r="X10" s="938"/>
      <c r="Y10" s="990"/>
      <c r="Z10" s="938"/>
      <c r="AA10" s="976"/>
      <c r="AB10" s="938"/>
      <c r="AC10" s="991"/>
      <c r="AD10" s="938"/>
      <c r="AE10" s="994"/>
      <c r="AF10" s="1048">
        <v>44686</v>
      </c>
      <c r="AG10" s="963">
        <v>1000</v>
      </c>
      <c r="AH10" s="610"/>
    </row>
    <row r="11" spans="1:37" x14ac:dyDescent="0.25">
      <c r="A11" s="681"/>
      <c r="B11" s="979"/>
      <c r="C11" s="946"/>
      <c r="D11" s="618"/>
      <c r="E11" s="979">
        <v>44694</v>
      </c>
      <c r="F11" s="953">
        <v>149.99</v>
      </c>
      <c r="G11" s="976"/>
      <c r="H11" s="953"/>
      <c r="I11" s="618"/>
      <c r="J11" s="979"/>
      <c r="K11" s="953"/>
      <c r="L11" s="960"/>
      <c r="M11" s="982"/>
      <c r="N11" s="963"/>
      <c r="O11" s="976"/>
      <c r="P11" s="946"/>
      <c r="Q11" s="986">
        <v>80</v>
      </c>
      <c r="R11" s="938">
        <v>44685</v>
      </c>
      <c r="S11" s="976"/>
      <c r="T11" s="938"/>
      <c r="U11" s="986"/>
      <c r="V11" s="938"/>
      <c r="W11" s="990"/>
      <c r="X11" s="938"/>
      <c r="Y11" s="990" t="s">
        <v>496</v>
      </c>
      <c r="Z11" s="938" t="s">
        <v>47</v>
      </c>
      <c r="AA11" s="976" t="s">
        <v>493</v>
      </c>
      <c r="AB11" s="938"/>
      <c r="AC11" s="991" t="s">
        <v>502</v>
      </c>
      <c r="AD11" s="938"/>
      <c r="AE11" s="994"/>
      <c r="AF11" s="1048">
        <v>44691</v>
      </c>
      <c r="AG11" s="963">
        <v>400</v>
      </c>
      <c r="AH11" s="610"/>
    </row>
    <row r="12" spans="1:37" x14ac:dyDescent="0.25">
      <c r="A12" s="681"/>
      <c r="B12" s="979"/>
      <c r="C12" s="946"/>
      <c r="D12" s="618"/>
      <c r="E12" s="979">
        <v>44694</v>
      </c>
      <c r="F12" s="953">
        <v>150</v>
      </c>
      <c r="G12" s="976"/>
      <c r="H12" s="953"/>
      <c r="I12" s="618"/>
      <c r="J12" s="979"/>
      <c r="K12" s="953"/>
      <c r="L12" s="960"/>
      <c r="M12" s="982"/>
      <c r="N12" s="953"/>
      <c r="O12" s="976"/>
      <c r="P12" s="946"/>
      <c r="Q12" s="986">
        <v>60</v>
      </c>
      <c r="R12" s="938">
        <v>44686</v>
      </c>
      <c r="S12" s="976"/>
      <c r="T12" s="938"/>
      <c r="U12" s="986"/>
      <c r="V12" s="938"/>
      <c r="W12" s="990"/>
      <c r="X12" s="938"/>
      <c r="Y12" s="990">
        <v>100</v>
      </c>
      <c r="Z12" s="938">
        <v>44687</v>
      </c>
      <c r="AA12" s="986">
        <v>100</v>
      </c>
      <c r="AB12" s="938">
        <v>44671</v>
      </c>
      <c r="AC12" s="990">
        <v>60</v>
      </c>
      <c r="AD12" s="938"/>
      <c r="AE12" s="994"/>
      <c r="AF12" s="1048">
        <v>44692</v>
      </c>
      <c r="AG12" s="963">
        <v>1000</v>
      </c>
      <c r="AH12" s="610"/>
    </row>
    <row r="13" spans="1:37" x14ac:dyDescent="0.25">
      <c r="A13" s="681"/>
      <c r="B13" s="979"/>
      <c r="C13" s="946"/>
      <c r="D13" s="618"/>
      <c r="E13" s="979"/>
      <c r="F13" s="953"/>
      <c r="G13" s="976"/>
      <c r="H13" s="953"/>
      <c r="I13" s="618"/>
      <c r="J13" s="979"/>
      <c r="K13" s="953"/>
      <c r="L13" s="960"/>
      <c r="M13" s="982"/>
      <c r="N13" s="953"/>
      <c r="O13" s="976"/>
      <c r="P13" s="946"/>
      <c r="Q13" s="986"/>
      <c r="R13" s="938"/>
      <c r="S13" s="976"/>
      <c r="T13" s="938"/>
      <c r="U13" s="986"/>
      <c r="V13" s="938"/>
      <c r="W13" s="990"/>
      <c r="X13" s="938"/>
      <c r="Y13" s="990">
        <v>100</v>
      </c>
      <c r="Z13" s="938">
        <v>44692</v>
      </c>
      <c r="AA13" s="986">
        <v>100</v>
      </c>
      <c r="AB13" s="938">
        <v>44678</v>
      </c>
      <c r="AC13" s="991"/>
      <c r="AD13" s="938"/>
      <c r="AE13" s="994"/>
      <c r="AF13" s="1048">
        <v>44681</v>
      </c>
      <c r="AG13" s="963">
        <v>500</v>
      </c>
      <c r="AH13" s="610"/>
    </row>
    <row r="14" spans="1:37" x14ac:dyDescent="0.25">
      <c r="A14" s="681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/>
      <c r="X14" s="938"/>
      <c r="Y14" s="990"/>
      <c r="Z14" s="938"/>
      <c r="AA14" s="986">
        <v>100</v>
      </c>
      <c r="AB14" s="938">
        <v>44683</v>
      </c>
      <c r="AC14" s="991"/>
      <c r="AD14" s="938"/>
      <c r="AE14" s="994"/>
      <c r="AF14" s="997"/>
      <c r="AG14" s="953"/>
      <c r="AH14" s="610"/>
    </row>
    <row r="15" spans="1:37" x14ac:dyDescent="0.25">
      <c r="A15" s="681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53"/>
      <c r="O15" s="976"/>
      <c r="P15" s="946"/>
      <c r="Q15" s="986">
        <v>10</v>
      </c>
      <c r="R15" s="938"/>
      <c r="S15" s="976"/>
      <c r="T15" s="938"/>
      <c r="U15" s="986"/>
      <c r="V15" s="938"/>
      <c r="W15" s="991"/>
      <c r="X15" s="938"/>
      <c r="Y15" s="990"/>
      <c r="Z15" s="938"/>
      <c r="AA15" s="986">
        <v>100</v>
      </c>
      <c r="AB15" s="938">
        <v>44685</v>
      </c>
      <c r="AC15" s="991"/>
      <c r="AD15" s="938"/>
      <c r="AE15" s="994"/>
      <c r="AF15" s="997"/>
      <c r="AG15" s="953"/>
      <c r="AH15" s="610"/>
    </row>
    <row r="16" spans="1:37" x14ac:dyDescent="0.25">
      <c r="A16" s="681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1"/>
      <c r="X16" s="938"/>
      <c r="Y16" s="990"/>
      <c r="Z16" s="938"/>
      <c r="AA16" s="976"/>
      <c r="AB16" s="938"/>
      <c r="AC16" s="991"/>
      <c r="AD16" s="938"/>
      <c r="AE16" s="994"/>
      <c r="AF16" s="997"/>
      <c r="AG16" s="953"/>
      <c r="AH16" s="610"/>
    </row>
    <row r="17" spans="1:34" x14ac:dyDescent="0.25">
      <c r="A17" s="681"/>
      <c r="B17" s="979"/>
      <c r="C17" s="946"/>
      <c r="D17" s="618"/>
      <c r="E17" s="979"/>
      <c r="F17" s="953"/>
      <c r="G17" s="976"/>
      <c r="H17" s="953"/>
      <c r="I17" s="618"/>
      <c r="J17" s="979"/>
      <c r="K17" s="953"/>
      <c r="L17" s="960"/>
      <c r="M17" s="982"/>
      <c r="N17" s="953"/>
      <c r="O17" s="976"/>
      <c r="P17" s="946"/>
      <c r="Q17" s="986"/>
      <c r="R17" s="938"/>
      <c r="S17" s="976"/>
      <c r="T17" s="938"/>
      <c r="U17" s="986"/>
      <c r="V17" s="938"/>
      <c r="W17" s="991"/>
      <c r="X17" s="938"/>
      <c r="Y17" s="990" t="s">
        <v>497</v>
      </c>
      <c r="Z17" s="938" t="s">
        <v>47</v>
      </c>
      <c r="AA17" s="976"/>
      <c r="AB17" s="938"/>
      <c r="AC17" s="991"/>
      <c r="AD17" s="938"/>
      <c r="AE17" s="994"/>
      <c r="AF17" s="997"/>
      <c r="AG17" s="953"/>
      <c r="AH17" s="610"/>
    </row>
    <row r="18" spans="1:34" x14ac:dyDescent="0.25">
      <c r="A18" s="681"/>
      <c r="B18" s="979"/>
      <c r="C18" s="946"/>
      <c r="D18" s="618"/>
      <c r="E18" s="979"/>
      <c r="F18" s="953"/>
      <c r="G18" s="976"/>
      <c r="H18" s="953"/>
      <c r="I18" s="618"/>
      <c r="J18" s="979"/>
      <c r="K18" s="953"/>
      <c r="L18" s="960"/>
      <c r="M18" s="982"/>
      <c r="N18" s="953"/>
      <c r="O18" s="976"/>
      <c r="P18" s="946"/>
      <c r="Q18" s="986"/>
      <c r="R18" s="938"/>
      <c r="S18" s="976"/>
      <c r="T18" s="938"/>
      <c r="U18" s="986"/>
      <c r="V18" s="938"/>
      <c r="W18" s="991"/>
      <c r="X18" s="938"/>
      <c r="Y18" s="990">
        <v>100</v>
      </c>
      <c r="Z18" s="938">
        <v>44687</v>
      </c>
      <c r="AA18" s="976"/>
      <c r="AB18" s="938"/>
      <c r="AC18" s="991"/>
      <c r="AD18" s="938"/>
      <c r="AE18" s="994"/>
      <c r="AF18" s="997"/>
      <c r="AG18" s="953"/>
      <c r="AH18" s="610"/>
    </row>
    <row r="19" spans="1:34" x14ac:dyDescent="0.25">
      <c r="A19" s="681"/>
      <c r="B19" s="979"/>
      <c r="C19" s="946"/>
      <c r="D19" s="618"/>
      <c r="E19" s="979"/>
      <c r="F19" s="953"/>
      <c r="G19" s="976"/>
      <c r="H19" s="953"/>
      <c r="I19" s="618"/>
      <c r="J19" s="979"/>
      <c r="K19" s="953"/>
      <c r="L19" s="960"/>
      <c r="M19" s="982"/>
      <c r="N19" s="953"/>
      <c r="O19" s="976"/>
      <c r="P19" s="946"/>
      <c r="Q19" s="986"/>
      <c r="R19" s="938"/>
      <c r="S19" s="976"/>
      <c r="T19" s="938"/>
      <c r="U19" s="986"/>
      <c r="V19" s="938"/>
      <c r="W19" s="991"/>
      <c r="X19" s="938"/>
      <c r="Y19" s="991"/>
      <c r="Z19" s="938"/>
      <c r="AA19" s="976" t="s">
        <v>491</v>
      </c>
      <c r="AB19" s="938"/>
      <c r="AC19" s="991"/>
      <c r="AD19" s="938"/>
      <c r="AE19" s="994"/>
      <c r="AF19" s="997"/>
      <c r="AG19" s="953"/>
      <c r="AH19" s="614"/>
    </row>
    <row r="20" spans="1:34" x14ac:dyDescent="0.25">
      <c r="A20" s="681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1"/>
      <c r="X20" s="938"/>
      <c r="Y20" s="991"/>
      <c r="Z20" s="938"/>
      <c r="AA20" s="986">
        <v>100</v>
      </c>
      <c r="AB20" s="938">
        <v>44678</v>
      </c>
      <c r="AC20" s="991"/>
      <c r="AD20" s="938"/>
      <c r="AE20" s="994"/>
      <c r="AF20" s="997"/>
      <c r="AG20" s="953"/>
      <c r="AH20" s="614"/>
    </row>
    <row r="21" spans="1:34" x14ac:dyDescent="0.25">
      <c r="A21" s="681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1"/>
      <c r="X21" s="938"/>
      <c r="Y21" s="991"/>
      <c r="Z21" s="938"/>
      <c r="AA21" s="986">
        <v>100</v>
      </c>
      <c r="AB21" s="938">
        <v>44683</v>
      </c>
      <c r="AC21" s="991"/>
      <c r="AD21" s="938"/>
      <c r="AE21" s="994"/>
      <c r="AF21" s="997"/>
      <c r="AG21" s="953"/>
      <c r="AH21" s="614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1"/>
      <c r="Z22" s="938"/>
      <c r="AA22" s="986">
        <v>100</v>
      </c>
      <c r="AB22" s="938">
        <v>44686</v>
      </c>
      <c r="AC22" s="991"/>
      <c r="AD22" s="938"/>
      <c r="AE22" s="994"/>
      <c r="AF22" s="997"/>
      <c r="AG22" s="953"/>
      <c r="AH22" s="614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1"/>
      <c r="Z23" s="938"/>
      <c r="AA23" s="986">
        <v>330</v>
      </c>
      <c r="AB23" s="938"/>
      <c r="AC23" s="991"/>
      <c r="AD23" s="938"/>
      <c r="AE23" s="994"/>
      <c r="AF23" s="997"/>
      <c r="AG23" s="953"/>
      <c r="AH23" s="614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1"/>
      <c r="Z24" s="938"/>
      <c r="AA24" s="976"/>
      <c r="AB24" s="938"/>
      <c r="AC24" s="991"/>
      <c r="AD24" s="938"/>
      <c r="AE24" s="994"/>
      <c r="AF24" s="997"/>
      <c r="AG24" s="953"/>
      <c r="AH24" s="614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1"/>
      <c r="Z25" s="938"/>
      <c r="AA25" s="976"/>
      <c r="AB25" s="938"/>
      <c r="AC25" s="991"/>
      <c r="AD25" s="938"/>
      <c r="AE25" s="994"/>
      <c r="AF25" s="997"/>
      <c r="AG25" s="953"/>
      <c r="AH25" s="614"/>
    </row>
    <row r="26" spans="1:34" x14ac:dyDescent="0.25">
      <c r="A26" s="681"/>
      <c r="B26" s="979"/>
      <c r="C26" s="946"/>
      <c r="D26" s="618"/>
      <c r="E26" s="979"/>
      <c r="F26" s="953"/>
      <c r="G26" s="976"/>
      <c r="H26" s="953"/>
      <c r="I26" s="618"/>
      <c r="J26" s="979"/>
      <c r="K26" s="953"/>
      <c r="L26" s="960"/>
      <c r="M26" s="982"/>
      <c r="N26" s="953"/>
      <c r="O26" s="976"/>
      <c r="P26" s="946"/>
      <c r="Q26" s="986"/>
      <c r="R26" s="938"/>
      <c r="S26" s="976"/>
      <c r="T26" s="938"/>
      <c r="U26" s="986"/>
      <c r="V26" s="938"/>
      <c r="W26" s="991"/>
      <c r="X26" s="938"/>
      <c r="Y26" s="991"/>
      <c r="Z26" s="938"/>
      <c r="AA26" s="976" t="s">
        <v>494</v>
      </c>
      <c r="AB26" s="938"/>
      <c r="AC26" s="991"/>
      <c r="AD26" s="938"/>
      <c r="AE26" s="994"/>
      <c r="AF26" s="997"/>
      <c r="AG26" s="953"/>
      <c r="AH26" s="614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86">
        <v>100</v>
      </c>
      <c r="AB27" s="938">
        <v>44680</v>
      </c>
      <c r="AC27" s="991"/>
      <c r="AD27" s="938"/>
      <c r="AE27" s="994"/>
      <c r="AF27" s="997"/>
      <c r="AG27" s="953"/>
      <c r="AH27" s="614"/>
    </row>
    <row r="28" spans="1:34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991"/>
      <c r="Z28" s="938"/>
      <c r="AA28" s="986">
        <v>100</v>
      </c>
      <c r="AB28" s="938">
        <v>44687</v>
      </c>
      <c r="AC28" s="991"/>
      <c r="AD28" s="938"/>
      <c r="AE28" s="994"/>
      <c r="AF28" s="997"/>
      <c r="AG28" s="953"/>
      <c r="AH28" s="614"/>
    </row>
    <row r="29" spans="1:34" x14ac:dyDescent="0.25">
      <c r="A29" s="681"/>
      <c r="B29" s="979"/>
      <c r="C29" s="946"/>
      <c r="D29" s="618"/>
      <c r="E29" s="979"/>
      <c r="F29" s="953"/>
      <c r="G29" s="976"/>
      <c r="H29" s="953"/>
      <c r="I29" s="618"/>
      <c r="J29" s="979"/>
      <c r="K29" s="953"/>
      <c r="L29" s="960"/>
      <c r="M29" s="982"/>
      <c r="N29" s="953"/>
      <c r="O29" s="976"/>
      <c r="P29" s="946"/>
      <c r="Q29" s="986"/>
      <c r="R29" s="938"/>
      <c r="S29" s="976"/>
      <c r="T29" s="938"/>
      <c r="U29" s="986"/>
      <c r="V29" s="938"/>
      <c r="W29" s="991"/>
      <c r="X29" s="938"/>
      <c r="Y29" s="991"/>
      <c r="Z29" s="938"/>
      <c r="AA29" s="976"/>
      <c r="AB29" s="938"/>
      <c r="AC29" s="991"/>
      <c r="AD29" s="938"/>
      <c r="AE29" s="994"/>
      <c r="AF29" s="997"/>
      <c r="AG29" s="953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76" t="s">
        <v>495</v>
      </c>
      <c r="AB30" s="938"/>
      <c r="AC30" s="991"/>
      <c r="AD30" s="938"/>
      <c r="AE30" s="994"/>
      <c r="AF30" s="997"/>
      <c r="AG30" s="95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>
        <v>100</v>
      </c>
      <c r="AB31" s="938">
        <v>44683</v>
      </c>
      <c r="AC31" s="991"/>
      <c r="AD31" s="938"/>
      <c r="AE31" s="994"/>
      <c r="AF31" s="997"/>
      <c r="AG31" s="95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>
        <v>100</v>
      </c>
      <c r="AB32" s="938">
        <v>44687</v>
      </c>
      <c r="AC32" s="991"/>
      <c r="AD32" s="938"/>
      <c r="AE32" s="994"/>
      <c r="AF32" s="997"/>
      <c r="AG32" s="953"/>
      <c r="AH32" s="614"/>
    </row>
    <row r="33" spans="1:34" ht="15.75" thickBot="1" x14ac:dyDescent="0.3">
      <c r="A33" s="682"/>
      <c r="B33" s="1000"/>
      <c r="C33" s="948"/>
      <c r="D33" s="675"/>
      <c r="E33" s="999"/>
      <c r="F33" s="954"/>
      <c r="G33" s="977"/>
      <c r="H33" s="954"/>
      <c r="I33" s="624"/>
      <c r="J33" s="980"/>
      <c r="K33" s="958"/>
      <c r="L33" s="961"/>
      <c r="M33" s="983"/>
      <c r="N33" s="954"/>
      <c r="O33" s="985"/>
      <c r="P33" s="947"/>
      <c r="Q33" s="987"/>
      <c r="R33" s="939"/>
      <c r="S33" s="988"/>
      <c r="T33" s="940"/>
      <c r="U33" s="987"/>
      <c r="V33" s="939"/>
      <c r="W33" s="992"/>
      <c r="X33" s="939"/>
      <c r="Y33" s="992"/>
      <c r="Z33" s="939"/>
      <c r="AA33" s="987">
        <v>200</v>
      </c>
      <c r="AB33" s="939">
        <v>44692</v>
      </c>
      <c r="AC33" s="992"/>
      <c r="AD33" s="939"/>
      <c r="AE33" s="995"/>
      <c r="AF33" s="998"/>
      <c r="AG33" s="954"/>
      <c r="AH33" s="614"/>
    </row>
    <row r="34" spans="1:34" ht="15.75" thickBot="1" x14ac:dyDescent="0.3">
      <c r="A34" s="1285" t="s">
        <v>102</v>
      </c>
      <c r="B34" s="1284"/>
      <c r="C34" s="1277"/>
      <c r="D34" s="669" t="s">
        <v>103</v>
      </c>
      <c r="E34" s="669" t="s">
        <v>61</v>
      </c>
      <c r="F34" s="955" t="s">
        <v>103</v>
      </c>
      <c r="G34" s="1276" t="s">
        <v>103</v>
      </c>
      <c r="H34" s="1277"/>
      <c r="I34" s="1286" t="s">
        <v>102</v>
      </c>
      <c r="J34" s="1287"/>
      <c r="K34" s="1288"/>
      <c r="L34" s="1283" t="s">
        <v>102</v>
      </c>
      <c r="M34" s="1284"/>
      <c r="N34" s="1277"/>
      <c r="O34" s="1286" t="s">
        <v>104</v>
      </c>
      <c r="P34" s="1288"/>
      <c r="Q34" s="1276" t="s">
        <v>104</v>
      </c>
      <c r="R34" s="1277"/>
      <c r="S34" s="1276" t="s">
        <v>104</v>
      </c>
      <c r="T34" s="1277"/>
      <c r="U34" s="1276" t="s">
        <v>104</v>
      </c>
      <c r="V34" s="1277"/>
      <c r="W34" s="1276" t="s">
        <v>104</v>
      </c>
      <c r="X34" s="1277"/>
      <c r="Y34" s="1276" t="s">
        <v>104</v>
      </c>
      <c r="Z34" s="1277"/>
      <c r="AA34" s="1276" t="s">
        <v>102</v>
      </c>
      <c r="AB34" s="1277"/>
      <c r="AC34" s="1276" t="s">
        <v>102</v>
      </c>
      <c r="AD34" s="1277"/>
      <c r="AE34" s="1283" t="s">
        <v>102</v>
      </c>
      <c r="AF34" s="1284"/>
      <c r="AG34" s="1277"/>
      <c r="AH34" s="614"/>
    </row>
    <row r="35" spans="1:34" x14ac:dyDescent="0.25">
      <c r="A35" s="872">
        <f>SUM(A3:A33)</f>
        <v>0</v>
      </c>
      <c r="B35" s="626"/>
      <c r="C35" s="949">
        <f>SUM(C3:C33)</f>
        <v>2408</v>
      </c>
      <c r="D35" s="950">
        <f>SUM(D3:D33)</f>
        <v>729.46</v>
      </c>
      <c r="E35" s="629">
        <v>0</v>
      </c>
      <c r="F35" s="956">
        <f>SUM(F3:F33)</f>
        <v>549.99</v>
      </c>
      <c r="G35" s="936">
        <f>SUM(G3:G33)</f>
        <v>10.600000000000001</v>
      </c>
      <c r="H35" s="957">
        <f>SUM(H3:H33)</f>
        <v>10.8</v>
      </c>
      <c r="I35" s="936">
        <f>SUM(I3:I33)</f>
        <v>0</v>
      </c>
      <c r="J35" s="629"/>
      <c r="K35" s="957">
        <f>SUM(K3:K33)</f>
        <v>0</v>
      </c>
      <c r="L35" s="962">
        <f>SUM(L3:L33)</f>
        <v>0</v>
      </c>
      <c r="M35" s="873">
        <f>N5+N6+N7+N8+N9+N10</f>
        <v>85.800000000000011</v>
      </c>
      <c r="N35" s="956">
        <f>N3+N4+N29+N30+N31+N32+N33</f>
        <v>41.75</v>
      </c>
      <c r="O35" s="942">
        <f>O3+O5</f>
        <v>1373.6099999999997</v>
      </c>
      <c r="P35" s="943" t="s">
        <v>395</v>
      </c>
      <c r="Q35" s="944">
        <f>SUM(Q3:Q33)</f>
        <v>800</v>
      </c>
      <c r="R35" s="934" t="s">
        <v>103</v>
      </c>
      <c r="S35" s="942">
        <f>SUM(S3:S33)</f>
        <v>400</v>
      </c>
      <c r="T35" s="934" t="s">
        <v>103</v>
      </c>
      <c r="U35" s="942">
        <f>SUM(U3:U33)</f>
        <v>400</v>
      </c>
      <c r="V35" s="934" t="s">
        <v>103</v>
      </c>
      <c r="W35" s="941">
        <f>SUM(W3:W33)</f>
        <v>350</v>
      </c>
      <c r="X35" s="934" t="s">
        <v>103</v>
      </c>
      <c r="Y35" s="1047">
        <f>SUM(Y3:Y6)</f>
        <v>300</v>
      </c>
      <c r="Z35" s="1046" t="str">
        <f>Y2</f>
        <v>Beran</v>
      </c>
      <c r="AA35" s="1045">
        <f>SUM(AA3:AA10)</f>
        <v>200</v>
      </c>
      <c r="AB35" s="1046" t="s">
        <v>489</v>
      </c>
      <c r="AC35" s="942">
        <f>SUM(AC3:AC10)</f>
        <v>300</v>
      </c>
      <c r="AD35" s="934" t="str">
        <f>AC2</f>
        <v>Bečka</v>
      </c>
      <c r="AE35" s="962">
        <f>SUM(AE3:AE33)</f>
        <v>0</v>
      </c>
      <c r="AF35" s="629"/>
      <c r="AG35" s="957">
        <f>SUM(AG3:AG33)</f>
        <v>7100</v>
      </c>
      <c r="AH35" s="614"/>
    </row>
    <row r="36" spans="1:34" ht="15.75" thickBot="1" x14ac:dyDescent="0.3">
      <c r="A36" s="634"/>
      <c r="B36" s="635"/>
      <c r="C36" s="935"/>
      <c r="D36" s="951"/>
      <c r="E36" s="635"/>
      <c r="F36" s="935"/>
      <c r="G36" s="951"/>
      <c r="H36" s="935"/>
      <c r="I36" s="951"/>
      <c r="J36" s="635"/>
      <c r="K36" s="935"/>
      <c r="L36" s="951"/>
      <c r="M36" s="635" t="s">
        <v>49</v>
      </c>
      <c r="N36" s="935" t="s">
        <v>46</v>
      </c>
      <c r="O36" s="1023">
        <v>400</v>
      </c>
      <c r="P36" s="935" t="s">
        <v>492</v>
      </c>
      <c r="Q36" s="1023">
        <v>600</v>
      </c>
      <c r="R36" s="935" t="s">
        <v>492</v>
      </c>
      <c r="S36" s="1023">
        <v>300</v>
      </c>
      <c r="T36" s="935" t="s">
        <v>492</v>
      </c>
      <c r="U36" s="1023">
        <v>400</v>
      </c>
      <c r="V36" s="935" t="s">
        <v>492</v>
      </c>
      <c r="W36" s="1024">
        <v>250</v>
      </c>
      <c r="X36" s="935" t="s">
        <v>492</v>
      </c>
      <c r="Y36" s="1024">
        <v>300</v>
      </c>
      <c r="Z36" s="935" t="s">
        <v>492</v>
      </c>
      <c r="AA36" s="1024">
        <v>150</v>
      </c>
      <c r="AB36" s="935" t="s">
        <v>492</v>
      </c>
      <c r="AC36" s="1024">
        <v>250</v>
      </c>
      <c r="AD36" s="935" t="s">
        <v>492</v>
      </c>
      <c r="AE36" s="951"/>
      <c r="AF36" s="635"/>
      <c r="AG36" s="935"/>
      <c r="AH36" s="614"/>
    </row>
    <row r="37" spans="1:34" ht="15.75" thickBot="1" x14ac:dyDescent="0.3">
      <c r="A37" s="969"/>
      <c r="B37" s="970"/>
      <c r="C37" s="971"/>
      <c r="D37" s="972"/>
      <c r="E37" s="970"/>
      <c r="F37" s="971"/>
      <c r="G37" s="972"/>
      <c r="H37" s="971"/>
      <c r="I37" s="972"/>
      <c r="J37" s="970"/>
      <c r="K37" s="971"/>
      <c r="L37" s="972"/>
      <c r="M37" s="970"/>
      <c r="N37" s="971"/>
      <c r="O37" s="973">
        <f>O35-O36+O38</f>
        <v>973.99999999999966</v>
      </c>
      <c r="P37" s="971" t="s">
        <v>354</v>
      </c>
      <c r="Q37" s="973">
        <f>Q35-Q36</f>
        <v>200</v>
      </c>
      <c r="R37" s="971" t="s">
        <v>354</v>
      </c>
      <c r="S37" s="973">
        <f>S35-S36</f>
        <v>100</v>
      </c>
      <c r="T37" s="971" t="s">
        <v>354</v>
      </c>
      <c r="U37" s="973">
        <f>U35-U36</f>
        <v>0</v>
      </c>
      <c r="V37" s="971" t="s">
        <v>354</v>
      </c>
      <c r="W37" s="974">
        <f>W35-W36</f>
        <v>100</v>
      </c>
      <c r="X37" s="971" t="s">
        <v>354</v>
      </c>
      <c r="Y37" s="1025">
        <f>Y35-Y36</f>
        <v>0</v>
      </c>
      <c r="Z37" s="971" t="s">
        <v>354</v>
      </c>
      <c r="AA37" s="1021">
        <f>AA35-AA36</f>
        <v>50</v>
      </c>
      <c r="AB37" s="971" t="s">
        <v>354</v>
      </c>
      <c r="AC37" s="1022">
        <f>AC35-AC36</f>
        <v>50</v>
      </c>
      <c r="AD37" s="971" t="s">
        <v>354</v>
      </c>
      <c r="AE37" s="972"/>
      <c r="AF37" s="970"/>
      <c r="AG37" s="971"/>
      <c r="AH37" s="614"/>
    </row>
    <row r="38" spans="1:34" ht="15.75" thickTop="1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>
        <v>0.39</v>
      </c>
      <c r="P38" s="610"/>
      <c r="Q38" s="1030"/>
      <c r="R38" s="1031"/>
      <c r="S38" s="1032"/>
      <c r="T38" s="610"/>
      <c r="U38" s="610"/>
      <c r="V38" s="610"/>
      <c r="W38" s="610"/>
      <c r="X38" s="610"/>
      <c r="Y38" s="1047">
        <f>SUM(Y12:Y15)</f>
        <v>200</v>
      </c>
      <c r="Z38" s="1046" t="str">
        <f>Y11</f>
        <v>Saša</v>
      </c>
      <c r="AA38" s="1045">
        <f>SUM(AA12:AA15)</f>
        <v>400</v>
      </c>
      <c r="AB38" s="1046" t="str">
        <f>AA11</f>
        <v>Láďa Novohradský</v>
      </c>
      <c r="AC38" s="610"/>
      <c r="AD38" s="610"/>
      <c r="AE38" s="610"/>
      <c r="AF38" s="610"/>
      <c r="AG38" s="610"/>
    </row>
    <row r="39" spans="1:34" ht="15.75" thickBot="1" x14ac:dyDescent="0.3">
      <c r="Q39" s="1033"/>
      <c r="R39" s="1034"/>
      <c r="S39" s="1035"/>
      <c r="Y39" s="1024">
        <v>0</v>
      </c>
      <c r="Z39" s="935" t="s">
        <v>492</v>
      </c>
      <c r="AA39" s="1024">
        <v>200</v>
      </c>
      <c r="AB39" s="935" t="s">
        <v>492</v>
      </c>
    </row>
    <row r="40" spans="1:34" ht="15.75" thickBot="1" x14ac:dyDescent="0.3">
      <c r="Q40" s="1033"/>
      <c r="R40" s="1034"/>
      <c r="S40" s="1035"/>
      <c r="Y40" s="1025">
        <f>Y38-Y39</f>
        <v>200</v>
      </c>
      <c r="Z40" s="971" t="s">
        <v>354</v>
      </c>
      <c r="AA40" s="1021">
        <f>AA38-AA39</f>
        <v>200</v>
      </c>
      <c r="AB40" s="971" t="s">
        <v>354</v>
      </c>
    </row>
    <row r="41" spans="1:34" ht="15.75" thickTop="1" x14ac:dyDescent="0.25">
      <c r="Q41" s="1033"/>
      <c r="R41" s="1034"/>
      <c r="S41" s="1035"/>
      <c r="Y41" s="1047">
        <f>SUM(Y18:Y20)</f>
        <v>100</v>
      </c>
      <c r="Z41" s="1046" t="str">
        <f>Y17</f>
        <v>Šimon Varmus</v>
      </c>
      <c r="AA41" s="1045">
        <f>SUM(AA20:AA24)</f>
        <v>630</v>
      </c>
      <c r="AB41" s="1046" t="str">
        <f>AA19</f>
        <v>David Kazda</v>
      </c>
    </row>
    <row r="42" spans="1:34" ht="15.75" thickBot="1" x14ac:dyDescent="0.3">
      <c r="Q42" s="1033"/>
      <c r="R42" s="1033"/>
      <c r="S42" s="1035"/>
      <c r="Y42" s="1024">
        <v>0</v>
      </c>
      <c r="Z42" s="935" t="s">
        <v>492</v>
      </c>
      <c r="AA42" s="1024">
        <v>100</v>
      </c>
      <c r="AB42" s="935" t="s">
        <v>492</v>
      </c>
    </row>
    <row r="43" spans="1:34" ht="15.75" thickBot="1" x14ac:dyDescent="0.3">
      <c r="Q43" s="1036"/>
      <c r="R43" s="1034"/>
      <c r="S43" s="1035"/>
      <c r="Y43" s="1025">
        <f>Y41-Y42</f>
        <v>100</v>
      </c>
      <c r="Z43" s="971" t="s">
        <v>354</v>
      </c>
      <c r="AA43" s="1021">
        <f>AA41-AA42</f>
        <v>530</v>
      </c>
      <c r="AB43" s="971" t="s">
        <v>354</v>
      </c>
    </row>
    <row r="44" spans="1:34" ht="15.75" thickTop="1" x14ac:dyDescent="0.25">
      <c r="Q44" s="1035"/>
      <c r="R44" s="1035"/>
      <c r="S44" s="1035"/>
      <c r="AA44" s="1045">
        <f>SUM(AA27:AA29)</f>
        <v>200</v>
      </c>
      <c r="AB44" s="1046" t="str">
        <f>AA26</f>
        <v>Olda Václahovský</v>
      </c>
    </row>
    <row r="45" spans="1:34" ht="15.75" thickBot="1" x14ac:dyDescent="0.3">
      <c r="Q45" s="1035"/>
      <c r="R45" s="1037"/>
      <c r="S45" s="1035"/>
      <c r="AA45" s="1024">
        <v>100</v>
      </c>
      <c r="AB45" s="935" t="s">
        <v>492</v>
      </c>
    </row>
    <row r="46" spans="1:34" ht="15.75" thickBot="1" x14ac:dyDescent="0.3">
      <c r="Q46" s="1035"/>
      <c r="R46" s="1037"/>
      <c r="S46" s="1035"/>
      <c r="AA46" s="1021">
        <f>AA44-AA45</f>
        <v>100</v>
      </c>
      <c r="AB46" s="971" t="s">
        <v>354</v>
      </c>
    </row>
    <row r="47" spans="1:34" ht="15.75" thickTop="1" x14ac:dyDescent="0.25">
      <c r="Q47" s="1035"/>
      <c r="R47" s="1035"/>
      <c r="S47" s="1035"/>
      <c r="AA47" s="1045">
        <f>SUM(AA31:AA33)</f>
        <v>400</v>
      </c>
      <c r="AB47" s="1046" t="str">
        <f>AA30</f>
        <v>Erik Maloň</v>
      </c>
    </row>
    <row r="48" spans="1:34" ht="15.75" thickBot="1" x14ac:dyDescent="0.3">
      <c r="Q48" s="1035"/>
      <c r="R48" s="1035"/>
      <c r="S48" s="1035"/>
      <c r="AA48" s="1024">
        <v>0</v>
      </c>
      <c r="AB48" s="935" t="s">
        <v>492</v>
      </c>
    </row>
    <row r="49" spans="17:28" ht="15.75" thickBot="1" x14ac:dyDescent="0.3">
      <c r="Q49" s="1035"/>
      <c r="R49" s="1035"/>
      <c r="S49" s="1035"/>
      <c r="AA49" s="1021">
        <f>AA47-AA48</f>
        <v>400</v>
      </c>
      <c r="AB49" s="971" t="s">
        <v>354</v>
      </c>
    </row>
    <row r="50" spans="17:28" ht="15.75" thickTop="1" x14ac:dyDescent="0.25">
      <c r="Q50" s="1038"/>
      <c r="R50" s="1035"/>
      <c r="S50" s="1035"/>
    </row>
    <row r="51" spans="17:28" x14ac:dyDescent="0.25">
      <c r="Q51" s="1035"/>
      <c r="R51" s="1035"/>
      <c r="S51" s="1035"/>
    </row>
    <row r="52" spans="17:28" x14ac:dyDescent="0.25">
      <c r="R52" s="827"/>
    </row>
  </sheetData>
  <mergeCells count="25">
    <mergeCell ref="A34:C34"/>
    <mergeCell ref="G34:H34"/>
    <mergeCell ref="I34:K34"/>
    <mergeCell ref="L34:N34"/>
    <mergeCell ref="O34:P34"/>
    <mergeCell ref="Q34:R34"/>
    <mergeCell ref="AE1:AG1"/>
    <mergeCell ref="AH1:AI1"/>
    <mergeCell ref="AJ1:AK1"/>
    <mergeCell ref="AH4:AI4"/>
    <mergeCell ref="AJ4:AK4"/>
    <mergeCell ref="AH9:AI9"/>
    <mergeCell ref="Q1:AD1"/>
    <mergeCell ref="AE34:AG34"/>
    <mergeCell ref="S34:T34"/>
    <mergeCell ref="U34:V34"/>
    <mergeCell ref="W34:X34"/>
    <mergeCell ref="Y34:Z34"/>
    <mergeCell ref="AA34:AB34"/>
    <mergeCell ref="AC34:AD34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C4BD93-21F4-D948-B984-63F78975C475}">
  <dimension ref="A1:V45"/>
  <sheetViews>
    <sheetView topLeftCell="V2" zoomScaleNormal="60" zoomScaleSheetLayoutView="100" workbookViewId="0">
      <selection activeCell="Z20" sqref="Z20:AB20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44682</v>
      </c>
      <c r="B2" s="656" t="str">
        <f t="shared" ref="B2:B35" si="0">CHOOSE(WEEKDAY(V2),"Po","Út","St","Čt","Pá","So","Ne")</f>
        <v>Ne</v>
      </c>
      <c r="C2" s="748">
        <f t="shared" ref="C2:C35" si="1">G2-E2-F2</f>
        <v>0</v>
      </c>
      <c r="D2" s="836">
        <f t="shared" ref="D2:D35" si="2">(N2*C2)*24</f>
        <v>0</v>
      </c>
      <c r="E2" s="723"/>
      <c r="F2" s="726"/>
      <c r="G2" s="726"/>
      <c r="H2" s="654" t="s">
        <v>476</v>
      </c>
      <c r="I2" s="657" t="s">
        <v>481</v>
      </c>
      <c r="J2" s="654" t="s">
        <v>475</v>
      </c>
      <c r="K2" s="656"/>
      <c r="L2" s="654"/>
      <c r="M2" s="657">
        <v>45</v>
      </c>
      <c r="N2" s="713"/>
      <c r="O2" s="834">
        <f>(O4+O6)</f>
        <v>116.5</v>
      </c>
      <c r="P2" s="716">
        <f t="shared" ref="P2" si="3">P4+P6</f>
        <v>116.5</v>
      </c>
      <c r="Q2" s="853">
        <f>'04hod22'!Q5</f>
        <v>11909</v>
      </c>
      <c r="R2" s="644" t="s">
        <v>17</v>
      </c>
      <c r="S2" s="644" t="str">
        <f>'04hod22'!S5</f>
        <v>Výplata za Duben</v>
      </c>
      <c r="T2" s="875">
        <f>'04hod22'!T5</f>
        <v>44694</v>
      </c>
      <c r="U2" s="722">
        <f>T7*20</f>
        <v>0</v>
      </c>
      <c r="V2" s="642">
        <f t="shared" ref="V2:V32" si="4">WEEKDAY(A2,2)</f>
        <v>7</v>
      </c>
    </row>
    <row r="3" spans="1:22" ht="15.75" thickBot="1" x14ac:dyDescent="0.3">
      <c r="A3" s="651">
        <v>44683</v>
      </c>
      <c r="B3" s="657" t="str">
        <f t="shared" si="0"/>
        <v>Po</v>
      </c>
      <c r="C3" s="748">
        <f t="shared" si="1"/>
        <v>0.4375</v>
      </c>
      <c r="D3" s="837">
        <f t="shared" si="2"/>
        <v>0</v>
      </c>
      <c r="E3" s="723">
        <v>0.33333333333333331</v>
      </c>
      <c r="F3" s="726">
        <f>TIME(0,30,0)</f>
        <v>2.0833333333333332E-2</v>
      </c>
      <c r="G3" s="726">
        <v>0.79166666666666663</v>
      </c>
      <c r="H3" s="654" t="s">
        <v>476</v>
      </c>
      <c r="I3" s="657" t="s">
        <v>481</v>
      </c>
      <c r="J3" s="654" t="s">
        <v>475</v>
      </c>
      <c r="K3" s="657"/>
      <c r="L3" s="654"/>
      <c r="M3" s="657">
        <v>45</v>
      </c>
      <c r="N3" s="714"/>
      <c r="O3" s="711" t="s">
        <v>19</v>
      </c>
      <c r="P3" s="717" t="s">
        <v>19</v>
      </c>
      <c r="Q3" s="738">
        <v>20000</v>
      </c>
      <c r="R3" s="611" t="s">
        <v>17</v>
      </c>
      <c r="S3" s="611" t="s">
        <v>134</v>
      </c>
      <c r="T3" s="874">
        <v>44701</v>
      </c>
      <c r="U3" s="718"/>
      <c r="V3" s="642">
        <f t="shared" si="4"/>
        <v>1</v>
      </c>
    </row>
    <row r="4" spans="1:22" ht="15.75" thickBot="1" x14ac:dyDescent="0.3">
      <c r="A4" s="651">
        <v>44684</v>
      </c>
      <c r="B4" s="657" t="str">
        <f t="shared" si="0"/>
        <v>Út</v>
      </c>
      <c r="C4" s="748">
        <f t="shared" si="1"/>
        <v>0.4375</v>
      </c>
      <c r="D4" s="837">
        <f t="shared" si="2"/>
        <v>0</v>
      </c>
      <c r="E4" s="723">
        <v>0.33333333333333331</v>
      </c>
      <c r="F4" s="726">
        <f>TIME(0,30,0)</f>
        <v>2.0833333333333332E-2</v>
      </c>
      <c r="G4" s="726">
        <v>0.79166666666666663</v>
      </c>
      <c r="H4" s="654" t="s">
        <v>476</v>
      </c>
      <c r="I4" s="657" t="s">
        <v>481</v>
      </c>
      <c r="J4" s="654" t="s">
        <v>475</v>
      </c>
      <c r="K4" s="657"/>
      <c r="L4" s="654"/>
      <c r="M4" s="657">
        <v>45</v>
      </c>
      <c r="N4" s="714"/>
      <c r="O4" s="835">
        <f>O40*24</f>
        <v>116.5</v>
      </c>
      <c r="P4" s="717">
        <v>116.5</v>
      </c>
      <c r="Q4" s="738">
        <v>20000</v>
      </c>
      <c r="R4" s="611" t="s">
        <v>17</v>
      </c>
      <c r="S4" s="611" t="s">
        <v>134</v>
      </c>
      <c r="T4" s="874">
        <v>44711</v>
      </c>
      <c r="U4" s="718"/>
      <c r="V4" s="642">
        <f t="shared" si="4"/>
        <v>2</v>
      </c>
    </row>
    <row r="5" spans="1:22" ht="15.75" thickBot="1" x14ac:dyDescent="0.3">
      <c r="A5" s="651">
        <v>44685</v>
      </c>
      <c r="B5" s="657" t="str">
        <f t="shared" si="0"/>
        <v>St</v>
      </c>
      <c r="C5" s="748">
        <f t="shared" si="1"/>
        <v>0.4375</v>
      </c>
      <c r="D5" s="837">
        <f t="shared" si="2"/>
        <v>0</v>
      </c>
      <c r="E5" s="723">
        <v>0.33333333333333331</v>
      </c>
      <c r="F5" s="726">
        <f>TIME(0,30,0)</f>
        <v>2.0833333333333332E-2</v>
      </c>
      <c r="G5" s="726">
        <v>0.79166666666666663</v>
      </c>
      <c r="H5" s="654" t="s">
        <v>476</v>
      </c>
      <c r="I5" s="657" t="s">
        <v>481</v>
      </c>
      <c r="J5" s="654" t="s">
        <v>475</v>
      </c>
      <c r="K5" s="657"/>
      <c r="L5" s="654"/>
      <c r="M5" s="657">
        <v>45</v>
      </c>
      <c r="N5" s="714"/>
      <c r="O5" s="711" t="s">
        <v>14</v>
      </c>
      <c r="P5" s="717" t="s">
        <v>14</v>
      </c>
      <c r="Q5" s="738">
        <v>0</v>
      </c>
      <c r="R5" s="611" t="s">
        <v>17</v>
      </c>
      <c r="S5" s="611" t="s">
        <v>339</v>
      </c>
      <c r="T5" s="874">
        <v>44727</v>
      </c>
      <c r="U5" s="718"/>
      <c r="V5" s="642">
        <f t="shared" si="4"/>
        <v>3</v>
      </c>
    </row>
    <row r="6" spans="1:22" ht="15.75" thickBot="1" x14ac:dyDescent="0.3">
      <c r="A6" s="651">
        <v>44686</v>
      </c>
      <c r="B6" s="657" t="str">
        <f t="shared" si="0"/>
        <v>Čt</v>
      </c>
      <c r="C6" s="748">
        <f t="shared" si="1"/>
        <v>0.41666666666666663</v>
      </c>
      <c r="D6" s="837">
        <f t="shared" si="2"/>
        <v>0</v>
      </c>
      <c r="E6" s="723">
        <v>0.33333333333333331</v>
      </c>
      <c r="F6" s="726">
        <f>TIME(1,0,0)</f>
        <v>4.1666666666666664E-2</v>
      </c>
      <c r="G6" s="726">
        <v>0.79166666666666663</v>
      </c>
      <c r="H6" s="654" t="s">
        <v>476</v>
      </c>
      <c r="I6" s="657" t="s">
        <v>481</v>
      </c>
      <c r="J6" s="654" t="s">
        <v>475</v>
      </c>
      <c r="K6" s="657"/>
      <c r="L6" s="654"/>
      <c r="M6" s="657">
        <v>45</v>
      </c>
      <c r="N6" s="714"/>
      <c r="O6" s="835">
        <f>O41*24</f>
        <v>0</v>
      </c>
      <c r="P6" s="717">
        <v>0</v>
      </c>
      <c r="Q6" s="712" t="s">
        <v>134</v>
      </c>
      <c r="R6" s="647"/>
      <c r="S6" s="647" t="s">
        <v>48</v>
      </c>
      <c r="T6" s="648"/>
      <c r="U6" s="718"/>
      <c r="V6" s="642">
        <f t="shared" si="4"/>
        <v>4</v>
      </c>
    </row>
    <row r="7" spans="1:22" ht="15.75" thickBot="1" x14ac:dyDescent="0.3">
      <c r="A7" s="651">
        <v>44687</v>
      </c>
      <c r="B7" s="657" t="str">
        <f t="shared" si="0"/>
        <v>Pá</v>
      </c>
      <c r="C7" s="748">
        <f t="shared" si="1"/>
        <v>0.41666666666666663</v>
      </c>
      <c r="D7" s="837">
        <f t="shared" si="2"/>
        <v>0</v>
      </c>
      <c r="E7" s="723">
        <v>0.33333333333333331</v>
      </c>
      <c r="F7" s="726">
        <f>TIME(1,0,0)</f>
        <v>4.1666666666666664E-2</v>
      </c>
      <c r="G7" s="726">
        <v>0.79166666666666663</v>
      </c>
      <c r="H7" s="654" t="s">
        <v>476</v>
      </c>
      <c r="I7" s="657" t="s">
        <v>481</v>
      </c>
      <c r="J7" s="654" t="s">
        <v>475</v>
      </c>
      <c r="K7" s="657"/>
      <c r="L7" s="654"/>
      <c r="M7" s="657">
        <v>45</v>
      </c>
      <c r="N7" s="714"/>
      <c r="O7" s="711" t="s">
        <v>20</v>
      </c>
      <c r="P7" s="646" t="s">
        <v>20</v>
      </c>
      <c r="Q7" s="924">
        <f>Q3+Q4</f>
        <v>40000</v>
      </c>
      <c r="R7" s="718"/>
      <c r="S7" s="718"/>
      <c r="T7" s="718"/>
      <c r="U7" s="718"/>
      <c r="V7" s="642">
        <f t="shared" si="4"/>
        <v>5</v>
      </c>
    </row>
    <row r="8" spans="1:22" ht="15.75" thickBot="1" x14ac:dyDescent="0.3">
      <c r="A8" s="651">
        <v>44688</v>
      </c>
      <c r="B8" s="657" t="str">
        <f t="shared" si="0"/>
        <v>So</v>
      </c>
      <c r="C8" s="748">
        <f t="shared" si="1"/>
        <v>0.33333333333333337</v>
      </c>
      <c r="D8" s="837">
        <f t="shared" si="2"/>
        <v>0</v>
      </c>
      <c r="E8" s="723">
        <v>0.33333333333333331</v>
      </c>
      <c r="F8" s="726">
        <f>TIME(0,30,0)</f>
        <v>2.0833333333333332E-2</v>
      </c>
      <c r="G8" s="726">
        <v>0.6875</v>
      </c>
      <c r="H8" s="654" t="s">
        <v>476</v>
      </c>
      <c r="I8" s="657" t="s">
        <v>481</v>
      </c>
      <c r="J8" s="654" t="s">
        <v>475</v>
      </c>
      <c r="K8" s="657"/>
      <c r="L8" s="654"/>
      <c r="M8" s="657">
        <v>45</v>
      </c>
      <c r="N8" s="714"/>
      <c r="O8" s="711" t="s">
        <v>22</v>
      </c>
      <c r="P8" s="646" t="s">
        <v>22</v>
      </c>
      <c r="Q8" s="657" t="s">
        <v>136</v>
      </c>
      <c r="R8" s="718"/>
      <c r="S8" s="718"/>
      <c r="T8" s="718"/>
      <c r="U8" s="718"/>
      <c r="V8" s="642">
        <f t="shared" si="4"/>
        <v>6</v>
      </c>
    </row>
    <row r="9" spans="1:22" ht="15.75" thickBot="1" x14ac:dyDescent="0.3">
      <c r="A9" s="651">
        <v>44689</v>
      </c>
      <c r="B9" s="657" t="str">
        <f t="shared" si="0"/>
        <v>Ne</v>
      </c>
      <c r="C9" s="748">
        <f t="shared" si="1"/>
        <v>0</v>
      </c>
      <c r="D9" s="837">
        <f t="shared" si="2"/>
        <v>0</v>
      </c>
      <c r="E9" s="723"/>
      <c r="F9" s="726"/>
      <c r="G9" s="726"/>
      <c r="H9" s="654" t="s">
        <v>476</v>
      </c>
      <c r="I9" s="657" t="s">
        <v>481</v>
      </c>
      <c r="J9" s="654" t="s">
        <v>475</v>
      </c>
      <c r="K9" s="657"/>
      <c r="L9" s="654"/>
      <c r="M9" s="657">
        <v>45</v>
      </c>
      <c r="N9" s="714"/>
      <c r="O9" s="711" t="s">
        <v>23</v>
      </c>
      <c r="P9" s="646" t="s">
        <v>23</v>
      </c>
      <c r="Q9" s="851">
        <f>SUM(Q2:Q4)</f>
        <v>51909</v>
      </c>
      <c r="R9" s="718"/>
      <c r="S9" s="718"/>
      <c r="T9" s="718"/>
      <c r="U9" s="718"/>
      <c r="V9" s="642">
        <f t="shared" si="4"/>
        <v>7</v>
      </c>
    </row>
    <row r="10" spans="1:22" ht="15.75" thickBot="1" x14ac:dyDescent="0.3">
      <c r="A10" s="651">
        <v>44690</v>
      </c>
      <c r="B10" s="657" t="str">
        <f t="shared" si="0"/>
        <v>Po</v>
      </c>
      <c r="C10" s="748">
        <f t="shared" si="1"/>
        <v>0.41666666666666663</v>
      </c>
      <c r="D10" s="837">
        <f t="shared" si="2"/>
        <v>0</v>
      </c>
      <c r="E10" s="723">
        <v>0.33333333333333331</v>
      </c>
      <c r="F10" s="726">
        <f>TIME(1,0,0)</f>
        <v>4.1666666666666664E-2</v>
      </c>
      <c r="G10" s="726">
        <v>0.79166666666666663</v>
      </c>
      <c r="H10" s="654" t="s">
        <v>476</v>
      </c>
      <c r="I10" s="657" t="s">
        <v>481</v>
      </c>
      <c r="J10" s="654" t="s">
        <v>475</v>
      </c>
      <c r="K10" s="657"/>
      <c r="L10" s="654"/>
      <c r="M10" s="657">
        <v>45</v>
      </c>
      <c r="N10" s="714"/>
      <c r="O10" s="738">
        <f>(O2*380)+U2</f>
        <v>44270</v>
      </c>
      <c r="P10" s="747">
        <f>SUM(P2*380)</f>
        <v>44270</v>
      </c>
      <c r="Q10" s="719"/>
      <c r="R10" s="718"/>
      <c r="S10" s="718"/>
      <c r="T10" s="718"/>
      <c r="U10" s="718"/>
      <c r="V10" s="642">
        <f t="shared" si="4"/>
        <v>1</v>
      </c>
    </row>
    <row r="11" spans="1:22" ht="15.75" thickBot="1" x14ac:dyDescent="0.3">
      <c r="A11" s="651">
        <v>44691</v>
      </c>
      <c r="B11" s="657" t="str">
        <f t="shared" si="0"/>
        <v>Út</v>
      </c>
      <c r="C11" s="748">
        <f t="shared" si="1"/>
        <v>0.4375</v>
      </c>
      <c r="D11" s="837">
        <f t="shared" si="2"/>
        <v>0</v>
      </c>
      <c r="E11" s="723">
        <v>0.33333333333333331</v>
      </c>
      <c r="F11" s="726">
        <f>TIME(0,30,0)</f>
        <v>2.0833333333333332E-2</v>
      </c>
      <c r="G11" s="726">
        <v>0.79166666666666663</v>
      </c>
      <c r="H11" s="654" t="s">
        <v>476</v>
      </c>
      <c r="I11" s="657" t="s">
        <v>481</v>
      </c>
      <c r="J11" s="654" t="s">
        <v>475</v>
      </c>
      <c r="K11" s="657"/>
      <c r="L11" s="654"/>
      <c r="M11" s="657">
        <v>45</v>
      </c>
      <c r="N11" s="714"/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4"/>
        <v>2</v>
      </c>
    </row>
    <row r="12" spans="1:22" ht="15.75" thickBot="1" x14ac:dyDescent="0.3">
      <c r="A12" s="651">
        <v>44692</v>
      </c>
      <c r="B12" s="657" t="str">
        <f t="shared" si="0"/>
        <v>St</v>
      </c>
      <c r="C12" s="748">
        <f>G12-E12-F12</f>
        <v>0.4375</v>
      </c>
      <c r="D12" s="837">
        <f t="shared" si="2"/>
        <v>0</v>
      </c>
      <c r="E12" s="723">
        <v>0.33333333333333331</v>
      </c>
      <c r="F12" s="726">
        <f>TIME(0,30,0)</f>
        <v>2.0833333333333332E-2</v>
      </c>
      <c r="G12" s="726">
        <v>0.79166666666666663</v>
      </c>
      <c r="H12" s="654" t="s">
        <v>476</v>
      </c>
      <c r="I12" s="657" t="s">
        <v>481</v>
      </c>
      <c r="J12" s="654" t="s">
        <v>475</v>
      </c>
      <c r="K12" s="657"/>
      <c r="L12" s="654"/>
      <c r="M12" s="657">
        <v>45</v>
      </c>
      <c r="N12" s="714"/>
      <c r="O12" s="738">
        <f>(O10+O20+O18-O22)-O14-P24</f>
        <v>23942.460000000006</v>
      </c>
      <c r="P12" s="747">
        <f>(P10+P18+P20-P22)-P14-P24</f>
        <v>23942.46</v>
      </c>
      <c r="Q12" s="718"/>
      <c r="R12" s="718"/>
      <c r="S12" s="718"/>
      <c r="T12" s="718"/>
      <c r="U12" s="718"/>
      <c r="V12" s="642">
        <f t="shared" si="4"/>
        <v>3</v>
      </c>
    </row>
    <row r="13" spans="1:22" ht="15.75" thickBot="1" x14ac:dyDescent="0.3">
      <c r="A13" s="651">
        <v>44693</v>
      </c>
      <c r="B13" s="657" t="str">
        <f t="shared" si="0"/>
        <v>Čt</v>
      </c>
      <c r="C13" s="748">
        <f t="shared" si="1"/>
        <v>0.41666666666666663</v>
      </c>
      <c r="D13" s="837">
        <f t="shared" si="2"/>
        <v>0</v>
      </c>
      <c r="E13" s="723">
        <v>0.33333333333333331</v>
      </c>
      <c r="F13" s="726">
        <f>TIME(1,0,0)</f>
        <v>4.1666666666666664E-2</v>
      </c>
      <c r="G13" s="726">
        <v>0.79166666666666663</v>
      </c>
      <c r="H13" s="654" t="s">
        <v>476</v>
      </c>
      <c r="I13" s="657" t="s">
        <v>481</v>
      </c>
      <c r="J13" s="654" t="s">
        <v>475</v>
      </c>
      <c r="K13" s="657"/>
      <c r="L13" s="654"/>
      <c r="M13" s="657">
        <v>45</v>
      </c>
      <c r="N13" s="714"/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4</v>
      </c>
    </row>
    <row r="14" spans="1:22" ht="15.75" thickBot="1" x14ac:dyDescent="0.3">
      <c r="A14" s="651">
        <v>44694</v>
      </c>
      <c r="B14" s="657" t="str">
        <f t="shared" si="0"/>
        <v>Pá</v>
      </c>
      <c r="C14" s="748">
        <f t="shared" si="1"/>
        <v>0.29166666666666669</v>
      </c>
      <c r="D14" s="837">
        <f t="shared" si="2"/>
        <v>0</v>
      </c>
      <c r="E14" s="723">
        <v>0.33333333333333331</v>
      </c>
      <c r="F14" s="726"/>
      <c r="G14" s="726">
        <v>0.625</v>
      </c>
      <c r="H14" s="654" t="s">
        <v>476</v>
      </c>
      <c r="I14" s="657" t="s">
        <v>481</v>
      </c>
      <c r="J14" s="654" t="s">
        <v>475</v>
      </c>
      <c r="K14" s="657"/>
      <c r="L14" s="654"/>
      <c r="M14" s="657">
        <v>45</v>
      </c>
      <c r="N14" s="714"/>
      <c r="O14" s="738">
        <f>(O16*24.71)</f>
        <v>24067.539999999994</v>
      </c>
      <c r="P14" s="747">
        <f>(P16*24.71)</f>
        <v>24067.54</v>
      </c>
      <c r="Q14" s="923" t="s">
        <v>458</v>
      </c>
      <c r="R14" s="1004">
        <f>P14+P22-P18-P20</f>
        <v>19903.54</v>
      </c>
      <c r="S14" s="1007"/>
      <c r="T14" s="923" t="s">
        <v>462</v>
      </c>
      <c r="U14" s="1004">
        <f>P14+P22</f>
        <v>24067.54</v>
      </c>
      <c r="V14" s="642">
        <f t="shared" si="4"/>
        <v>5</v>
      </c>
    </row>
    <row r="15" spans="1:22" ht="15.75" thickBot="1" x14ac:dyDescent="0.3">
      <c r="A15" s="651">
        <v>44695</v>
      </c>
      <c r="B15" s="657" t="str">
        <f t="shared" si="0"/>
        <v>So</v>
      </c>
      <c r="C15" s="748">
        <f t="shared" si="1"/>
        <v>0</v>
      </c>
      <c r="D15" s="837">
        <f t="shared" si="2"/>
        <v>0</v>
      </c>
      <c r="E15" s="723"/>
      <c r="F15" s="726"/>
      <c r="G15" s="726"/>
      <c r="H15" s="654" t="s">
        <v>476</v>
      </c>
      <c r="I15" s="657" t="s">
        <v>481</v>
      </c>
      <c r="J15" s="654" t="s">
        <v>475</v>
      </c>
      <c r="K15" s="657"/>
      <c r="L15" s="654"/>
      <c r="M15" s="657">
        <v>45</v>
      </c>
      <c r="N15" s="714"/>
      <c r="O15" s="711" t="s">
        <v>29</v>
      </c>
      <c r="P15" s="646" t="s">
        <v>29</v>
      </c>
      <c r="Q15" s="1001" t="s">
        <v>459</v>
      </c>
      <c r="R15" s="1002">
        <f>P10</f>
        <v>44270</v>
      </c>
      <c r="S15" s="1008"/>
      <c r="T15" s="1001" t="s">
        <v>463</v>
      </c>
      <c r="U15" s="1002">
        <f>P10+P18+P20+O28</f>
        <v>110117</v>
      </c>
      <c r="V15" s="642">
        <f t="shared" si="4"/>
        <v>6</v>
      </c>
    </row>
    <row r="16" spans="1:22" ht="15.75" thickBot="1" x14ac:dyDescent="0.3">
      <c r="A16" s="651">
        <v>44696</v>
      </c>
      <c r="B16" s="657" t="str">
        <f t="shared" si="0"/>
        <v>Ne</v>
      </c>
      <c r="C16" s="748">
        <f t="shared" si="1"/>
        <v>0</v>
      </c>
      <c r="D16" s="837">
        <f t="shared" si="2"/>
        <v>0</v>
      </c>
      <c r="E16" s="723"/>
      <c r="F16" s="726"/>
      <c r="G16" s="726"/>
      <c r="H16" s="654" t="s">
        <v>476</v>
      </c>
      <c r="I16" s="657" t="s">
        <v>481</v>
      </c>
      <c r="J16" s="654" t="s">
        <v>475</v>
      </c>
      <c r="K16" s="657"/>
      <c r="L16" s="654"/>
      <c r="M16" s="657">
        <v>45</v>
      </c>
      <c r="N16" s="714"/>
      <c r="O16" s="893">
        <f>'03cash22'!O37</f>
        <v>973.99999999999966</v>
      </c>
      <c r="P16" s="894">
        <v>974</v>
      </c>
      <c r="Q16" s="1001"/>
      <c r="R16" s="1003">
        <f>R15-R14</f>
        <v>24366.46</v>
      </c>
      <c r="S16" s="1008"/>
      <c r="T16" s="1001" t="s">
        <v>513</v>
      </c>
      <c r="U16" s="1002">
        <f>U15-U14</f>
        <v>86049.459999999992</v>
      </c>
      <c r="V16" s="642">
        <f t="shared" si="4"/>
        <v>7</v>
      </c>
    </row>
    <row r="17" spans="1:22" ht="15.75" thickBot="1" x14ac:dyDescent="0.3">
      <c r="A17" s="651">
        <v>44697</v>
      </c>
      <c r="B17" s="657" t="str">
        <f t="shared" si="0"/>
        <v>Po</v>
      </c>
      <c r="C17" s="748">
        <f t="shared" si="1"/>
        <v>0</v>
      </c>
      <c r="D17" s="837">
        <f t="shared" si="2"/>
        <v>0</v>
      </c>
      <c r="E17" s="723"/>
      <c r="F17" s="726"/>
      <c r="G17" s="726"/>
      <c r="H17" s="654"/>
      <c r="I17" s="657"/>
      <c r="J17" s="654"/>
      <c r="K17" s="657"/>
      <c r="L17" s="654"/>
      <c r="M17" s="657"/>
      <c r="N17" s="714"/>
      <c r="O17" s="711" t="s">
        <v>31</v>
      </c>
      <c r="P17" s="646" t="s">
        <v>31</v>
      </c>
      <c r="Q17" s="1002">
        <f>R16-Q5-Q7</f>
        <v>-15633.54</v>
      </c>
      <c r="R17" s="1001"/>
      <c r="S17" s="1009"/>
      <c r="T17" s="1001" t="s">
        <v>514</v>
      </c>
      <c r="U17" s="1002">
        <f>U16-Q5-Q7</f>
        <v>46049.459999999992</v>
      </c>
      <c r="V17" s="642">
        <f t="shared" si="4"/>
        <v>1</v>
      </c>
    </row>
    <row r="18" spans="1:22" ht="15.75" thickBot="1" x14ac:dyDescent="0.3">
      <c r="A18" s="651">
        <v>44698</v>
      </c>
      <c r="B18" s="657" t="str">
        <f t="shared" si="0"/>
        <v>Út</v>
      </c>
      <c r="C18" s="748">
        <f t="shared" si="1"/>
        <v>0</v>
      </c>
      <c r="D18" s="837">
        <f t="shared" si="2"/>
        <v>0</v>
      </c>
      <c r="E18" s="723"/>
      <c r="F18" s="726"/>
      <c r="G18" s="726"/>
      <c r="H18" s="654"/>
      <c r="I18" s="657"/>
      <c r="J18" s="654"/>
      <c r="K18" s="657"/>
      <c r="L18" s="654"/>
      <c r="M18" s="657"/>
      <c r="N18" s="714"/>
      <c r="O18" s="738">
        <v>1756</v>
      </c>
      <c r="P18" s="747">
        <v>1756</v>
      </c>
      <c r="Q18" s="1001"/>
      <c r="R18" s="1001"/>
      <c r="S18" s="1008"/>
      <c r="T18" s="1001"/>
      <c r="U18" s="1001"/>
      <c r="V18" s="642">
        <f t="shared" si="4"/>
        <v>2</v>
      </c>
    </row>
    <row r="19" spans="1:22" ht="15.75" thickBot="1" x14ac:dyDescent="0.3">
      <c r="A19" s="651">
        <v>44699</v>
      </c>
      <c r="B19" s="657" t="str">
        <f t="shared" si="0"/>
        <v>St</v>
      </c>
      <c r="C19" s="748">
        <f t="shared" si="1"/>
        <v>0</v>
      </c>
      <c r="D19" s="837">
        <f t="shared" si="2"/>
        <v>0</v>
      </c>
      <c r="E19" s="723"/>
      <c r="F19" s="726"/>
      <c r="G19" s="726"/>
      <c r="H19" s="654"/>
      <c r="I19" s="657"/>
      <c r="J19" s="654"/>
      <c r="K19" s="657"/>
      <c r="L19" s="654"/>
      <c r="M19" s="657"/>
      <c r="N19" s="714"/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4"/>
        <v>3</v>
      </c>
    </row>
    <row r="20" spans="1:22" ht="15.75" thickBot="1" x14ac:dyDescent="0.3">
      <c r="A20" s="651">
        <v>44700</v>
      </c>
      <c r="B20" s="657" t="str">
        <f t="shared" si="0"/>
        <v>Čt</v>
      </c>
      <c r="C20" s="748">
        <f t="shared" si="1"/>
        <v>0</v>
      </c>
      <c r="D20" s="837">
        <f t="shared" si="2"/>
        <v>0</v>
      </c>
      <c r="E20" s="724"/>
      <c r="F20" s="726"/>
      <c r="G20" s="727"/>
      <c r="H20" s="654"/>
      <c r="I20" s="657"/>
      <c r="J20" s="654"/>
      <c r="K20" s="657"/>
      <c r="L20" s="654"/>
      <c r="M20" s="657"/>
      <c r="N20" s="714"/>
      <c r="O20" s="738">
        <v>2408</v>
      </c>
      <c r="P20" s="747">
        <v>2408</v>
      </c>
      <c r="Q20" s="1001"/>
      <c r="R20" s="1001"/>
      <c r="S20" s="1008"/>
      <c r="T20" s="1001"/>
      <c r="U20" s="1001"/>
      <c r="V20" s="642">
        <f t="shared" si="4"/>
        <v>4</v>
      </c>
    </row>
    <row r="21" spans="1:22" ht="15.75" thickBot="1" x14ac:dyDescent="0.3">
      <c r="A21" s="651">
        <v>44701</v>
      </c>
      <c r="B21" s="657" t="str">
        <f t="shared" si="0"/>
        <v>Pá</v>
      </c>
      <c r="C21" s="748">
        <f t="shared" si="1"/>
        <v>0</v>
      </c>
      <c r="D21" s="837">
        <f t="shared" si="2"/>
        <v>0</v>
      </c>
      <c r="E21" s="724"/>
      <c r="F21" s="726"/>
      <c r="G21" s="727"/>
      <c r="H21" s="654"/>
      <c r="I21" s="657"/>
      <c r="J21" s="654"/>
      <c r="K21" s="657"/>
      <c r="L21" s="654"/>
      <c r="M21" s="657"/>
      <c r="N21" s="714"/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4"/>
        <v>5</v>
      </c>
    </row>
    <row r="22" spans="1:22" ht="15.75" thickBot="1" x14ac:dyDescent="0.3">
      <c r="A22" s="651">
        <v>44702</v>
      </c>
      <c r="B22" s="657" t="str">
        <f t="shared" si="0"/>
        <v>So</v>
      </c>
      <c r="C22" s="748">
        <f t="shared" si="1"/>
        <v>0</v>
      </c>
      <c r="D22" s="837">
        <f t="shared" si="2"/>
        <v>0</v>
      </c>
      <c r="E22" s="724"/>
      <c r="F22" s="726"/>
      <c r="G22" s="727"/>
      <c r="H22" s="654"/>
      <c r="I22" s="657"/>
      <c r="J22" s="654"/>
      <c r="K22" s="657"/>
      <c r="L22" s="654"/>
      <c r="M22" s="658"/>
      <c r="N22" s="714"/>
      <c r="O22" s="738">
        <v>0</v>
      </c>
      <c r="P22" s="747">
        <v>0</v>
      </c>
      <c r="Q22" s="1001"/>
      <c r="R22" s="1017"/>
      <c r="S22" s="718"/>
      <c r="T22" s="1001"/>
      <c r="U22" s="1001"/>
      <c r="V22" s="642">
        <f t="shared" si="4"/>
        <v>6</v>
      </c>
    </row>
    <row r="23" spans="1:22" ht="15.75" thickBot="1" x14ac:dyDescent="0.3">
      <c r="A23" s="651">
        <v>44703</v>
      </c>
      <c r="B23" s="657" t="str">
        <f t="shared" si="0"/>
        <v>Ne</v>
      </c>
      <c r="C23" s="748">
        <f t="shared" si="1"/>
        <v>0</v>
      </c>
      <c r="D23" s="837">
        <f t="shared" si="2"/>
        <v>0</v>
      </c>
      <c r="E23" s="724"/>
      <c r="F23" s="726"/>
      <c r="G23" s="727"/>
      <c r="H23" s="654"/>
      <c r="I23" s="657"/>
      <c r="J23" s="654"/>
      <c r="K23" s="657"/>
      <c r="L23" s="654"/>
      <c r="M23" s="657"/>
      <c r="N23" s="714"/>
      <c r="O23" s="897" t="s">
        <v>364</v>
      </c>
      <c r="P23" s="895" t="s">
        <v>363</v>
      </c>
      <c r="Q23" s="1015">
        <f>Q17-P24</f>
        <v>-16057.54</v>
      </c>
      <c r="R23" s="1018"/>
      <c r="S23" s="1015">
        <f>U17-O26</f>
        <v>-16057.540000000008</v>
      </c>
      <c r="T23" s="1001"/>
      <c r="U23" s="1001"/>
      <c r="V23" s="642">
        <f t="shared" si="4"/>
        <v>7</v>
      </c>
    </row>
    <row r="24" spans="1:22" ht="15.75" thickBot="1" x14ac:dyDescent="0.3">
      <c r="A24" s="651">
        <v>44704</v>
      </c>
      <c r="B24" s="657" t="str">
        <f t="shared" si="0"/>
        <v>Po</v>
      </c>
      <c r="C24" s="748">
        <f t="shared" si="1"/>
        <v>0</v>
      </c>
      <c r="D24" s="837">
        <f t="shared" si="2"/>
        <v>0</v>
      </c>
      <c r="E24" s="724"/>
      <c r="F24" s="726"/>
      <c r="G24" s="727"/>
      <c r="H24" s="654"/>
      <c r="I24" s="657"/>
      <c r="J24" s="654"/>
      <c r="K24" s="657"/>
      <c r="L24" s="654"/>
      <c r="M24" s="657"/>
      <c r="N24" s="714"/>
      <c r="O24" s="898">
        <f>P12-Q5</f>
        <v>23942.46</v>
      </c>
      <c r="P24" s="747">
        <f>O26-O28</f>
        <v>424</v>
      </c>
      <c r="Q24" s="1020"/>
      <c r="R24" s="1019"/>
      <c r="S24" s="1006"/>
      <c r="T24" s="1006"/>
      <c r="U24" s="1006"/>
      <c r="V24" s="642">
        <f t="shared" si="4"/>
        <v>1</v>
      </c>
    </row>
    <row r="25" spans="1:22" ht="15.75" thickBot="1" x14ac:dyDescent="0.3">
      <c r="A25" s="651">
        <v>44705</v>
      </c>
      <c r="B25" s="657" t="str">
        <f t="shared" si="0"/>
        <v>Út</v>
      </c>
      <c r="C25" s="748">
        <f t="shared" si="1"/>
        <v>0</v>
      </c>
      <c r="D25" s="837">
        <f t="shared" si="2"/>
        <v>0</v>
      </c>
      <c r="E25" s="724"/>
      <c r="F25" s="726"/>
      <c r="G25" s="727"/>
      <c r="H25" s="654"/>
      <c r="I25" s="657"/>
      <c r="J25" s="654"/>
      <c r="K25" s="657"/>
      <c r="L25" s="654"/>
      <c r="M25" s="657"/>
      <c r="N25" s="714"/>
      <c r="O25" s="711" t="s">
        <v>372</v>
      </c>
      <c r="P25" s="646"/>
      <c r="Q25" s="718"/>
      <c r="R25" s="718"/>
      <c r="S25" s="718"/>
      <c r="T25" s="718"/>
      <c r="U25" s="718"/>
      <c r="V25" s="642">
        <f t="shared" si="4"/>
        <v>2</v>
      </c>
    </row>
    <row r="26" spans="1:22" ht="15.75" thickBot="1" x14ac:dyDescent="0.3">
      <c r="A26" s="651">
        <v>44706</v>
      </c>
      <c r="B26" s="657" t="str">
        <f t="shared" si="0"/>
        <v>St</v>
      </c>
      <c r="C26" s="748">
        <f t="shared" si="1"/>
        <v>0</v>
      </c>
      <c r="D26" s="837">
        <f t="shared" si="2"/>
        <v>0</v>
      </c>
      <c r="E26" s="724"/>
      <c r="F26" s="726"/>
      <c r="G26" s="727"/>
      <c r="H26" s="654"/>
      <c r="I26" s="657"/>
      <c r="J26" s="654"/>
      <c r="K26" s="657"/>
      <c r="L26" s="654"/>
      <c r="M26" s="657"/>
      <c r="N26" s="714"/>
      <c r="O26" s="738">
        <v>62107</v>
      </c>
      <c r="P26" s="747"/>
      <c r="Q26" s="718"/>
      <c r="R26" s="718"/>
      <c r="S26" s="718"/>
      <c r="T26" s="718"/>
      <c r="U26" s="718"/>
      <c r="V26" s="642">
        <f t="shared" si="4"/>
        <v>3</v>
      </c>
    </row>
    <row r="27" spans="1:22" ht="15.75" thickBot="1" x14ac:dyDescent="0.3">
      <c r="A27" s="651">
        <v>44707</v>
      </c>
      <c r="B27" s="657" t="str">
        <f t="shared" si="0"/>
        <v>Čt</v>
      </c>
      <c r="C27" s="748">
        <f t="shared" si="1"/>
        <v>0</v>
      </c>
      <c r="D27" s="837">
        <f t="shared" si="2"/>
        <v>0</v>
      </c>
      <c r="E27" s="724"/>
      <c r="F27" s="726"/>
      <c r="G27" s="727"/>
      <c r="H27" s="654"/>
      <c r="I27" s="657"/>
      <c r="J27" s="654"/>
      <c r="K27" s="657"/>
      <c r="L27" s="654"/>
      <c r="M27" s="657"/>
      <c r="N27" s="714"/>
      <c r="O27" s="711" t="s">
        <v>373</v>
      </c>
      <c r="P27" s="646"/>
      <c r="Q27" s="718"/>
      <c r="R27" s="718"/>
      <c r="S27" s="718"/>
      <c r="T27" s="718"/>
      <c r="U27" s="718"/>
      <c r="V27" s="642">
        <f t="shared" si="4"/>
        <v>4</v>
      </c>
    </row>
    <row r="28" spans="1:22" ht="15.75" thickBot="1" x14ac:dyDescent="0.3">
      <c r="A28" s="651">
        <v>44708</v>
      </c>
      <c r="B28" s="657" t="str">
        <f t="shared" si="0"/>
        <v>Pá</v>
      </c>
      <c r="C28" s="748">
        <f t="shared" si="1"/>
        <v>0</v>
      </c>
      <c r="D28" s="837">
        <f t="shared" si="2"/>
        <v>0</v>
      </c>
      <c r="E28" s="724"/>
      <c r="F28" s="726"/>
      <c r="G28" s="727"/>
      <c r="H28" s="654"/>
      <c r="I28" s="657"/>
      <c r="J28" s="654"/>
      <c r="K28" s="657"/>
      <c r="L28" s="654"/>
      <c r="M28" s="657"/>
      <c r="N28" s="714"/>
      <c r="O28" s="738">
        <f>'04hod22'!O26</f>
        <v>61683</v>
      </c>
      <c r="P28" s="646"/>
      <c r="Q28" s="718"/>
      <c r="R28" s="718"/>
      <c r="S28" s="718"/>
      <c r="T28" s="718"/>
      <c r="U28" s="718"/>
      <c r="V28" s="642">
        <f t="shared" si="4"/>
        <v>5</v>
      </c>
    </row>
    <row r="29" spans="1:22" ht="15.75" thickBot="1" x14ac:dyDescent="0.3">
      <c r="A29" s="651">
        <v>44709</v>
      </c>
      <c r="B29" s="657" t="str">
        <f t="shared" si="0"/>
        <v>So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/>
      <c r="I29" s="657"/>
      <c r="J29" s="654"/>
      <c r="K29" s="657"/>
      <c r="L29" s="654"/>
      <c r="M29" s="657"/>
      <c r="N29" s="714"/>
      <c r="O29" s="712"/>
      <c r="P29" s="648"/>
      <c r="Q29" s="718"/>
      <c r="R29" s="718"/>
      <c r="S29" s="718"/>
      <c r="T29" s="718"/>
      <c r="U29" s="718"/>
      <c r="V29" s="642">
        <f t="shared" si="4"/>
        <v>6</v>
      </c>
    </row>
    <row r="30" spans="1:22" ht="15.75" thickBot="1" x14ac:dyDescent="0.3">
      <c r="A30" s="651">
        <v>44710</v>
      </c>
      <c r="B30" s="657" t="str">
        <f t="shared" si="0"/>
        <v>Ne</v>
      </c>
      <c r="C30" s="748">
        <f t="shared" si="1"/>
        <v>0</v>
      </c>
      <c r="D30" s="837">
        <f t="shared" si="2"/>
        <v>0</v>
      </c>
      <c r="E30" s="724"/>
      <c r="F30" s="726"/>
      <c r="G30" s="727"/>
      <c r="H30" s="654"/>
      <c r="I30" s="657"/>
      <c r="J30" s="654"/>
      <c r="K30" s="657"/>
      <c r="L30" s="654"/>
      <c r="M30" s="657"/>
      <c r="N30" s="714"/>
      <c r="O30" s="715"/>
      <c r="P30" s="720"/>
      <c r="Q30" s="718"/>
      <c r="R30" s="718"/>
      <c r="S30" s="718"/>
      <c r="T30" s="718"/>
      <c r="U30" s="718"/>
      <c r="V30" s="642">
        <f t="shared" si="4"/>
        <v>7</v>
      </c>
    </row>
    <row r="31" spans="1:22" ht="15.75" thickBot="1" x14ac:dyDescent="0.3">
      <c r="A31" s="651">
        <v>44711</v>
      </c>
      <c r="B31" s="657" t="str">
        <f t="shared" si="0"/>
        <v>Po</v>
      </c>
      <c r="C31" s="748">
        <f t="shared" si="1"/>
        <v>0</v>
      </c>
      <c r="D31" s="837">
        <f t="shared" si="2"/>
        <v>0</v>
      </c>
      <c r="E31" s="724"/>
      <c r="F31" s="726"/>
      <c r="G31" s="727"/>
      <c r="H31" s="654"/>
      <c r="I31" s="657"/>
      <c r="J31" s="654"/>
      <c r="K31" s="657"/>
      <c r="L31" s="654"/>
      <c r="M31" s="657"/>
      <c r="N31" s="714"/>
      <c r="O31" s="649"/>
      <c r="P31" s="646"/>
      <c r="Q31" s="718"/>
      <c r="R31" s="718"/>
      <c r="S31" s="718"/>
      <c r="T31" s="718"/>
      <c r="U31" s="718"/>
      <c r="V31" s="642">
        <f t="shared" si="4"/>
        <v>1</v>
      </c>
    </row>
    <row r="32" spans="1:22" ht="15.75" thickBot="1" x14ac:dyDescent="0.3">
      <c r="A32" s="651">
        <v>44712</v>
      </c>
      <c r="B32" s="657" t="str">
        <f t="shared" si="0"/>
        <v>Út</v>
      </c>
      <c r="C32" s="748">
        <f t="shared" si="1"/>
        <v>0.375</v>
      </c>
      <c r="D32" s="837">
        <f t="shared" si="2"/>
        <v>0</v>
      </c>
      <c r="E32" s="724">
        <v>0.33333333333333331</v>
      </c>
      <c r="F32" s="726">
        <f>TIME(1,0,0)</f>
        <v>4.1666666666666664E-2</v>
      </c>
      <c r="G32" s="727">
        <v>0.75</v>
      </c>
      <c r="H32" s="654"/>
      <c r="I32" s="657"/>
      <c r="J32" s="654"/>
      <c r="K32" s="657"/>
      <c r="L32" s="654"/>
      <c r="M32" s="657"/>
      <c r="N32" s="714"/>
      <c r="O32" s="649"/>
      <c r="P32" s="646"/>
      <c r="Q32" s="718"/>
      <c r="R32" s="718"/>
      <c r="S32" s="718"/>
      <c r="T32" s="718"/>
      <c r="U32" s="718"/>
      <c r="V32" s="642">
        <f t="shared" si="4"/>
        <v>2</v>
      </c>
    </row>
    <row r="33" spans="1:22" ht="15.75" thickBot="1" x14ac:dyDescent="0.3">
      <c r="A33" s="651">
        <v>44713</v>
      </c>
      <c r="B33" s="657" t="str">
        <f t="shared" si="0"/>
        <v>St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/>
      <c r="I33" s="657"/>
      <c r="J33" s="654"/>
      <c r="K33" s="657"/>
      <c r="L33" s="654"/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3</v>
      </c>
    </row>
    <row r="34" spans="1:22" ht="15.75" thickBot="1" x14ac:dyDescent="0.3">
      <c r="A34" s="651">
        <v>44714</v>
      </c>
      <c r="B34" s="657" t="str">
        <f t="shared" si="0"/>
        <v>Čt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/>
      <c r="I34" s="657"/>
      <c r="J34" s="654"/>
      <c r="K34" s="657"/>
      <c r="L34" s="654"/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5">WEEKDAY(A34,2)</f>
        <v>4</v>
      </c>
    </row>
    <row r="35" spans="1:22" ht="15.75" thickBot="1" x14ac:dyDescent="0.3">
      <c r="A35" s="651">
        <v>44715</v>
      </c>
      <c r="B35" s="658" t="str">
        <f t="shared" si="0"/>
        <v>Pá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4"/>
      <c r="I35" s="657"/>
      <c r="J35" s="654"/>
      <c r="K35" s="658"/>
      <c r="L35" s="654"/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5"/>
        <v>5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4.854166666666667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ED9117-8048-1E48-9FB6-CB1DCB1C51CD}">
  <sheetPr>
    <tabColor theme="6"/>
  </sheetPr>
  <dimension ref="A1:V45"/>
  <sheetViews>
    <sheetView topLeftCell="V11" zoomScaleNormal="60" zoomScaleSheetLayoutView="100" workbookViewId="0">
      <selection activeCell="S5" sqref="S5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11.85546875" customWidth="1"/>
    <col min="19" max="19" width="17.42578125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1080">
        <v>44713</v>
      </c>
      <c r="B2" s="656" t="str">
        <f t="shared" ref="B2:B35" si="0">CHOOSE(WEEKDAY(V2),"Po","Út","St","Čt","Pá","So","Ne")</f>
        <v>St</v>
      </c>
      <c r="C2" s="724">
        <f t="shared" ref="C2:C35" si="1">G2-E2-F2</f>
        <v>0.41666666666666663</v>
      </c>
      <c r="D2" s="1079">
        <f t="shared" ref="D2:D35" si="2">(N2*C2)*24</f>
        <v>0</v>
      </c>
      <c r="E2" s="724">
        <v>0.29166666666666669</v>
      </c>
      <c r="F2" s="724">
        <f t="shared" ref="F2" si="3">TIME(1,0,0)</f>
        <v>4.1666666666666664E-2</v>
      </c>
      <c r="G2" s="724">
        <v>0.75</v>
      </c>
      <c r="H2" s="654" t="s">
        <v>476</v>
      </c>
      <c r="I2" s="657" t="s">
        <v>481</v>
      </c>
      <c r="J2" s="654" t="s">
        <v>475</v>
      </c>
      <c r="K2" s="656"/>
      <c r="L2" s="654"/>
      <c r="M2" s="657">
        <v>45</v>
      </c>
      <c r="N2" s="713"/>
      <c r="O2" s="1081">
        <f>(O4+O6)</f>
        <v>193.49999999999994</v>
      </c>
      <c r="P2" s="656">
        <f t="shared" ref="P2" si="4">P4+P6</f>
        <v>0</v>
      </c>
      <c r="Q2" s="853">
        <f>'05hod22'!Q5</f>
        <v>0</v>
      </c>
      <c r="R2" s="644" t="s">
        <v>17</v>
      </c>
      <c r="S2" s="644" t="str">
        <f>'05hod22'!S5</f>
        <v>Výplata za Květen</v>
      </c>
      <c r="T2" s="875">
        <f>'05hod22'!T5</f>
        <v>44727</v>
      </c>
      <c r="U2" s="722">
        <f>T7*20</f>
        <v>0</v>
      </c>
      <c r="V2" s="642">
        <f t="shared" ref="V2:V32" si="5">WEEKDAY(A2,2)</f>
        <v>3</v>
      </c>
    </row>
    <row r="3" spans="1:22" x14ac:dyDescent="0.25">
      <c r="A3" s="1080">
        <v>44714</v>
      </c>
      <c r="B3" s="657" t="str">
        <f t="shared" si="0"/>
        <v>Čt</v>
      </c>
      <c r="C3" s="724">
        <f t="shared" si="1"/>
        <v>0.41666666666666663</v>
      </c>
      <c r="D3" s="1079">
        <f t="shared" si="2"/>
        <v>0</v>
      </c>
      <c r="E3" s="724">
        <v>0.29166666666666669</v>
      </c>
      <c r="F3" s="724">
        <f>TIME(1,0,0)</f>
        <v>4.1666666666666664E-2</v>
      </c>
      <c r="G3" s="724">
        <v>0.75</v>
      </c>
      <c r="H3" s="654" t="s">
        <v>476</v>
      </c>
      <c r="I3" s="657" t="s">
        <v>481</v>
      </c>
      <c r="J3" s="654" t="s">
        <v>475</v>
      </c>
      <c r="K3" s="657"/>
      <c r="L3" s="654"/>
      <c r="M3" s="657">
        <v>45</v>
      </c>
      <c r="N3" s="714"/>
      <c r="O3" s="654" t="s">
        <v>19</v>
      </c>
      <c r="P3" s="657" t="s">
        <v>19</v>
      </c>
      <c r="Q3" s="738">
        <v>0</v>
      </c>
      <c r="R3" s="611" t="s">
        <v>17</v>
      </c>
      <c r="S3" s="611" t="s">
        <v>158</v>
      </c>
      <c r="T3" s="874">
        <v>44730</v>
      </c>
      <c r="U3" s="718"/>
      <c r="V3" s="642">
        <f t="shared" si="5"/>
        <v>4</v>
      </c>
    </row>
    <row r="4" spans="1:22" x14ac:dyDescent="0.25">
      <c r="A4" s="1080">
        <v>44715</v>
      </c>
      <c r="B4" s="657" t="str">
        <f t="shared" si="0"/>
        <v>Pá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 t="s">
        <v>476</v>
      </c>
      <c r="I4" s="657" t="s">
        <v>481</v>
      </c>
      <c r="J4" s="654" t="s">
        <v>475</v>
      </c>
      <c r="K4" s="657"/>
      <c r="L4" s="654"/>
      <c r="M4" s="657">
        <v>45</v>
      </c>
      <c r="N4" s="714"/>
      <c r="O4" s="1082">
        <f>O40*24</f>
        <v>193.49999999999994</v>
      </c>
      <c r="P4" s="657">
        <v>0</v>
      </c>
      <c r="Q4" s="738">
        <v>40000</v>
      </c>
      <c r="R4" s="611" t="s">
        <v>17</v>
      </c>
      <c r="S4" s="611" t="s">
        <v>158</v>
      </c>
      <c r="T4" s="646"/>
      <c r="U4" s="718"/>
      <c r="V4" s="642">
        <f t="shared" si="5"/>
        <v>5</v>
      </c>
    </row>
    <row r="5" spans="1:22" x14ac:dyDescent="0.25">
      <c r="A5" s="1080">
        <v>44716</v>
      </c>
      <c r="B5" s="657" t="str">
        <f t="shared" si="0"/>
        <v>So</v>
      </c>
      <c r="C5" s="724">
        <f t="shared" si="1"/>
        <v>0.3125</v>
      </c>
      <c r="D5" s="1079">
        <f t="shared" si="2"/>
        <v>0</v>
      </c>
      <c r="E5" s="724">
        <v>0.29166666666666669</v>
      </c>
      <c r="F5" s="724">
        <f>TIME(0,30,0)</f>
        <v>2.0833333333333332E-2</v>
      </c>
      <c r="G5" s="724">
        <v>0.625</v>
      </c>
      <c r="H5" s="654" t="s">
        <v>476</v>
      </c>
      <c r="I5" s="657" t="s">
        <v>481</v>
      </c>
      <c r="J5" s="654" t="s">
        <v>475</v>
      </c>
      <c r="K5" s="657"/>
      <c r="L5" s="654"/>
      <c r="M5" s="657">
        <v>45</v>
      </c>
      <c r="N5" s="714"/>
      <c r="O5" s="654" t="s">
        <v>14</v>
      </c>
      <c r="P5" s="657" t="s">
        <v>14</v>
      </c>
      <c r="Q5" s="738">
        <v>560</v>
      </c>
      <c r="R5" s="611" t="s">
        <v>17</v>
      </c>
      <c r="S5" s="611" t="s">
        <v>507</v>
      </c>
      <c r="T5" s="646" t="s">
        <v>508</v>
      </c>
      <c r="U5" s="718"/>
      <c r="V5" s="642">
        <f t="shared" si="5"/>
        <v>6</v>
      </c>
    </row>
    <row r="6" spans="1:22" ht="15.75" thickBot="1" x14ac:dyDescent="0.3">
      <c r="A6" s="1080">
        <v>44717</v>
      </c>
      <c r="B6" s="657" t="str">
        <f t="shared" si="0"/>
        <v>Ne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 t="s">
        <v>476</v>
      </c>
      <c r="I6" s="657" t="s">
        <v>481</v>
      </c>
      <c r="J6" s="654" t="s">
        <v>475</v>
      </c>
      <c r="K6" s="657"/>
      <c r="L6" s="654"/>
      <c r="M6" s="657">
        <v>45</v>
      </c>
      <c r="N6" s="714"/>
      <c r="O6" s="1082">
        <f>O41*24</f>
        <v>0</v>
      </c>
      <c r="P6" s="657">
        <v>0</v>
      </c>
      <c r="Q6" s="712" t="s">
        <v>158</v>
      </c>
      <c r="R6" s="647">
        <v>40000</v>
      </c>
      <c r="S6" s="647" t="s">
        <v>48</v>
      </c>
      <c r="T6" s="648"/>
      <c r="U6" s="718"/>
      <c r="V6" s="642">
        <f t="shared" si="5"/>
        <v>7</v>
      </c>
    </row>
    <row r="7" spans="1:22" x14ac:dyDescent="0.25">
      <c r="A7" s="1080">
        <v>44718</v>
      </c>
      <c r="B7" s="657" t="str">
        <f t="shared" si="0"/>
        <v>Po</v>
      </c>
      <c r="C7" s="724">
        <f t="shared" si="1"/>
        <v>0.4375</v>
      </c>
      <c r="D7" s="1079">
        <f t="shared" si="2"/>
        <v>0</v>
      </c>
      <c r="E7" s="724">
        <v>0.29166666666666669</v>
      </c>
      <c r="F7" s="724">
        <f>TIME(0,30,0)</f>
        <v>2.0833333333333332E-2</v>
      </c>
      <c r="G7" s="724">
        <v>0.75</v>
      </c>
      <c r="H7" s="654" t="s">
        <v>476</v>
      </c>
      <c r="I7" s="657" t="s">
        <v>481</v>
      </c>
      <c r="J7" s="654" t="s">
        <v>475</v>
      </c>
      <c r="K7" s="657"/>
      <c r="L7" s="654"/>
      <c r="M7" s="657">
        <v>45</v>
      </c>
      <c r="N7" s="714"/>
      <c r="O7" s="654" t="s">
        <v>20</v>
      </c>
      <c r="P7" s="1026" t="s">
        <v>20</v>
      </c>
      <c r="Q7" s="721">
        <f>Q3+Q4</f>
        <v>40000</v>
      </c>
      <c r="R7" s="718"/>
      <c r="S7" s="718"/>
      <c r="T7" s="718"/>
      <c r="U7" s="718"/>
      <c r="V7" s="642">
        <f t="shared" si="5"/>
        <v>1</v>
      </c>
    </row>
    <row r="8" spans="1:22" x14ac:dyDescent="0.25">
      <c r="A8" s="1080">
        <v>44719</v>
      </c>
      <c r="B8" s="657" t="str">
        <f t="shared" si="0"/>
        <v>Út</v>
      </c>
      <c r="C8" s="724">
        <f t="shared" si="1"/>
        <v>0.4375</v>
      </c>
      <c r="D8" s="1079">
        <f t="shared" si="2"/>
        <v>0</v>
      </c>
      <c r="E8" s="724">
        <v>0.29166666666666669</v>
      </c>
      <c r="F8" s="724">
        <f>TIME(0,30,0)</f>
        <v>2.0833333333333332E-2</v>
      </c>
      <c r="G8" s="724">
        <v>0.75</v>
      </c>
      <c r="H8" s="654" t="s">
        <v>476</v>
      </c>
      <c r="I8" s="657" t="s">
        <v>481</v>
      </c>
      <c r="J8" s="654" t="s">
        <v>475</v>
      </c>
      <c r="K8" s="657"/>
      <c r="L8" s="654"/>
      <c r="M8" s="657">
        <v>45</v>
      </c>
      <c r="N8" s="714"/>
      <c r="O8" s="654" t="s">
        <v>509</v>
      </c>
      <c r="P8" s="1026" t="s">
        <v>509</v>
      </c>
      <c r="Q8" s="657" t="s">
        <v>229</v>
      </c>
      <c r="R8" s="718"/>
      <c r="S8" s="718"/>
      <c r="T8" s="718"/>
      <c r="U8" s="718"/>
      <c r="V8" s="642">
        <f t="shared" si="5"/>
        <v>2</v>
      </c>
    </row>
    <row r="9" spans="1:22" x14ac:dyDescent="0.25">
      <c r="A9" s="1080">
        <v>44720</v>
      </c>
      <c r="B9" s="657" t="str">
        <f t="shared" si="0"/>
        <v>St</v>
      </c>
      <c r="C9" s="724">
        <f t="shared" si="1"/>
        <v>0.41666666666666663</v>
      </c>
      <c r="D9" s="1079">
        <f t="shared" si="2"/>
        <v>0</v>
      </c>
      <c r="E9" s="724">
        <v>0.29166666666666669</v>
      </c>
      <c r="F9" s="724">
        <f>TIME(1,0,0)</f>
        <v>4.1666666666666664E-2</v>
      </c>
      <c r="G9" s="724">
        <v>0.75</v>
      </c>
      <c r="H9" s="654" t="s">
        <v>476</v>
      </c>
      <c r="I9" s="657" t="s">
        <v>481</v>
      </c>
      <c r="J9" s="654" t="s">
        <v>475</v>
      </c>
      <c r="K9" s="657"/>
      <c r="L9" s="654"/>
      <c r="M9" s="657">
        <v>45</v>
      </c>
      <c r="N9" s="714"/>
      <c r="O9" s="654" t="s">
        <v>23</v>
      </c>
      <c r="P9" s="1026" t="s">
        <v>23</v>
      </c>
      <c r="Q9" s="657">
        <f>SUM(Q2:Q4)</f>
        <v>40000</v>
      </c>
      <c r="R9" s="718"/>
      <c r="S9" s="718"/>
      <c r="T9" s="718"/>
      <c r="U9" s="718"/>
      <c r="V9" s="642">
        <f t="shared" si="5"/>
        <v>3</v>
      </c>
    </row>
    <row r="10" spans="1:22" x14ac:dyDescent="0.25">
      <c r="A10" s="1080">
        <v>44721</v>
      </c>
      <c r="B10" s="657" t="str">
        <f t="shared" si="0"/>
        <v>Čt</v>
      </c>
      <c r="C10" s="724">
        <f t="shared" si="1"/>
        <v>0.41666666666666663</v>
      </c>
      <c r="D10" s="1079">
        <f t="shared" si="2"/>
        <v>0</v>
      </c>
      <c r="E10" s="724">
        <v>0.29166666666666669</v>
      </c>
      <c r="F10" s="724">
        <f>TIME(1,0,0)</f>
        <v>4.1666666666666664E-2</v>
      </c>
      <c r="G10" s="724">
        <v>0.75</v>
      </c>
      <c r="H10" s="654" t="s">
        <v>476</v>
      </c>
      <c r="I10" s="657" t="s">
        <v>481</v>
      </c>
      <c r="J10" s="654" t="s">
        <v>475</v>
      </c>
      <c r="K10" s="657"/>
      <c r="L10" s="654"/>
      <c r="M10" s="657">
        <v>45</v>
      </c>
      <c r="N10" s="714"/>
      <c r="O10" s="1083">
        <f>(O2*380)+U2</f>
        <v>73529.999999999985</v>
      </c>
      <c r="P10" s="1088">
        <f>SUM(P2*380)</f>
        <v>0</v>
      </c>
      <c r="Q10" s="719"/>
      <c r="R10" s="718"/>
      <c r="S10" s="718"/>
      <c r="T10" s="718"/>
      <c r="U10" s="718"/>
      <c r="V10" s="642">
        <f t="shared" si="5"/>
        <v>4</v>
      </c>
    </row>
    <row r="11" spans="1:22" x14ac:dyDescent="0.25">
      <c r="A11" s="1080">
        <v>44722</v>
      </c>
      <c r="B11" s="657" t="str">
        <f t="shared" si="0"/>
        <v>Pá</v>
      </c>
      <c r="C11" s="724">
        <f t="shared" si="1"/>
        <v>0.41666666666666663</v>
      </c>
      <c r="D11" s="1079">
        <f t="shared" si="2"/>
        <v>0</v>
      </c>
      <c r="E11" s="724">
        <v>0.29166666666666669</v>
      </c>
      <c r="F11" s="724">
        <f>TIME(1,0,0)</f>
        <v>4.1666666666666664E-2</v>
      </c>
      <c r="G11" s="724">
        <v>0.75</v>
      </c>
      <c r="H11" s="654" t="s">
        <v>476</v>
      </c>
      <c r="I11" s="657" t="s">
        <v>481</v>
      </c>
      <c r="J11" s="654" t="s">
        <v>475</v>
      </c>
      <c r="K11" s="657"/>
      <c r="L11" s="654"/>
      <c r="M11" s="657">
        <v>45</v>
      </c>
      <c r="N11" s="714"/>
      <c r="O11" s="654" t="s">
        <v>361</v>
      </c>
      <c r="P11" s="1026" t="s">
        <v>361</v>
      </c>
      <c r="Q11" s="718"/>
      <c r="R11" s="718"/>
      <c r="S11" s="718"/>
      <c r="T11" s="718"/>
      <c r="U11" s="718"/>
      <c r="V11" s="642">
        <f t="shared" si="5"/>
        <v>5</v>
      </c>
    </row>
    <row r="12" spans="1:22" x14ac:dyDescent="0.25">
      <c r="A12" s="1080">
        <v>44723</v>
      </c>
      <c r="B12" s="657" t="str">
        <f t="shared" si="0"/>
        <v>So</v>
      </c>
      <c r="C12" s="724">
        <f>G12-E12-F12</f>
        <v>0.3125</v>
      </c>
      <c r="D12" s="1079">
        <f t="shared" si="2"/>
        <v>0</v>
      </c>
      <c r="E12" s="724">
        <v>0.29166666666666669</v>
      </c>
      <c r="F12" s="724">
        <f>TIME(0,30,0)</f>
        <v>2.0833333333333332E-2</v>
      </c>
      <c r="G12" s="724">
        <v>0.625</v>
      </c>
      <c r="H12" s="654" t="s">
        <v>476</v>
      </c>
      <c r="I12" s="657" t="s">
        <v>481</v>
      </c>
      <c r="J12" s="654" t="s">
        <v>475</v>
      </c>
      <c r="K12" s="657"/>
      <c r="L12" s="654"/>
      <c r="M12" s="657">
        <v>45</v>
      </c>
      <c r="N12" s="714"/>
      <c r="O12" s="1083">
        <f>(O10+O20+O18-O22)-O14-P24</f>
        <v>106038.27999999998</v>
      </c>
      <c r="P12" s="1088">
        <f>(P10+P18+P20-P22)-P14-P24</f>
        <v>32508.28</v>
      </c>
      <c r="Q12" s="718"/>
      <c r="R12" s="718"/>
      <c r="S12" s="718"/>
      <c r="T12" s="718"/>
      <c r="U12" s="718"/>
      <c r="V12" s="642">
        <f t="shared" si="5"/>
        <v>6</v>
      </c>
    </row>
    <row r="13" spans="1:22" x14ac:dyDescent="0.25">
      <c r="A13" s="1080">
        <v>44724</v>
      </c>
      <c r="B13" s="657" t="str">
        <f t="shared" si="0"/>
        <v>Ne</v>
      </c>
      <c r="C13" s="724">
        <f t="shared" si="1"/>
        <v>0</v>
      </c>
      <c r="D13" s="1079">
        <f t="shared" si="2"/>
        <v>0</v>
      </c>
      <c r="E13" s="724"/>
      <c r="F13" s="724"/>
      <c r="G13" s="724"/>
      <c r="H13" s="654" t="s">
        <v>476</v>
      </c>
      <c r="I13" s="657" t="s">
        <v>481</v>
      </c>
      <c r="J13" s="654" t="s">
        <v>475</v>
      </c>
      <c r="K13" s="657"/>
      <c r="L13" s="654"/>
      <c r="M13" s="657">
        <v>45</v>
      </c>
      <c r="N13" s="714"/>
      <c r="O13" s="654" t="s">
        <v>26</v>
      </c>
      <c r="P13" s="1088" t="s">
        <v>26</v>
      </c>
      <c r="Q13" s="718"/>
      <c r="R13" s="718"/>
      <c r="S13" s="718"/>
      <c r="T13" s="718"/>
      <c r="U13" s="718"/>
      <c r="V13" s="642">
        <f t="shared" si="5"/>
        <v>7</v>
      </c>
    </row>
    <row r="14" spans="1:22" x14ac:dyDescent="0.25">
      <c r="A14" s="1080">
        <v>44725</v>
      </c>
      <c r="B14" s="657" t="str">
        <f t="shared" si="0"/>
        <v>Po</v>
      </c>
      <c r="C14" s="724">
        <f t="shared" si="1"/>
        <v>0.4375</v>
      </c>
      <c r="D14" s="1079">
        <f t="shared" si="2"/>
        <v>0</v>
      </c>
      <c r="E14" s="724">
        <v>0.29166666666666669</v>
      </c>
      <c r="F14" s="724">
        <f>TIME(0,30,0)</f>
        <v>2.0833333333333332E-2</v>
      </c>
      <c r="G14" s="724">
        <v>0.75</v>
      </c>
      <c r="H14" s="654" t="s">
        <v>476</v>
      </c>
      <c r="I14" s="657" t="s">
        <v>481</v>
      </c>
      <c r="J14" s="654" t="s">
        <v>475</v>
      </c>
      <c r="K14" s="657"/>
      <c r="L14" s="654"/>
      <c r="M14" s="657">
        <v>45</v>
      </c>
      <c r="N14" s="714"/>
      <c r="O14" s="1083">
        <f>(O16*24.74)</f>
        <v>37802.720000000001</v>
      </c>
      <c r="P14" s="1088">
        <f>(P16*24.74)</f>
        <v>37802.720000000001</v>
      </c>
      <c r="Q14" s="923" t="s">
        <v>458</v>
      </c>
      <c r="R14" s="1004">
        <f>P14+P22-P18-P20</f>
        <v>15012.720000000001</v>
      </c>
      <c r="S14" s="1007"/>
      <c r="T14" s="923" t="s">
        <v>462</v>
      </c>
      <c r="U14" s="1004">
        <f>P14+P22</f>
        <v>38002.720000000001</v>
      </c>
      <c r="V14" s="642">
        <f t="shared" si="5"/>
        <v>1</v>
      </c>
    </row>
    <row r="15" spans="1:22" x14ac:dyDescent="0.25">
      <c r="A15" s="1080">
        <v>44726</v>
      </c>
      <c r="B15" s="657" t="str">
        <f t="shared" si="0"/>
        <v>Út</v>
      </c>
      <c r="C15" s="724">
        <f t="shared" si="1"/>
        <v>0.4375</v>
      </c>
      <c r="D15" s="1079">
        <f t="shared" si="2"/>
        <v>0</v>
      </c>
      <c r="E15" s="724">
        <v>0.29166666666666669</v>
      </c>
      <c r="F15" s="724">
        <f>TIME(0,30,0)</f>
        <v>2.0833333333333332E-2</v>
      </c>
      <c r="G15" s="724">
        <v>0.75</v>
      </c>
      <c r="H15" s="654" t="s">
        <v>476</v>
      </c>
      <c r="I15" s="657" t="s">
        <v>481</v>
      </c>
      <c r="J15" s="654" t="s">
        <v>475</v>
      </c>
      <c r="K15" s="657"/>
      <c r="L15" s="654"/>
      <c r="M15" s="657">
        <v>45</v>
      </c>
      <c r="N15" s="714"/>
      <c r="O15" s="654" t="s">
        <v>29</v>
      </c>
      <c r="P15" s="1026" t="s">
        <v>29</v>
      </c>
      <c r="Q15" s="1001" t="s">
        <v>459</v>
      </c>
      <c r="R15" s="1002">
        <f>P10</f>
        <v>0</v>
      </c>
      <c r="S15" s="1008"/>
      <c r="T15" s="1001" t="s">
        <v>463</v>
      </c>
      <c r="U15" s="1002">
        <f>P10+P18+P20+O28</f>
        <v>85097</v>
      </c>
      <c r="V15" s="642">
        <f t="shared" si="5"/>
        <v>2</v>
      </c>
    </row>
    <row r="16" spans="1:22" x14ac:dyDescent="0.25">
      <c r="A16" s="1080">
        <v>44727</v>
      </c>
      <c r="B16" s="657" t="str">
        <f t="shared" si="0"/>
        <v>St</v>
      </c>
      <c r="C16" s="724">
        <f t="shared" si="1"/>
        <v>0.4375</v>
      </c>
      <c r="D16" s="1079">
        <f t="shared" si="2"/>
        <v>0</v>
      </c>
      <c r="E16" s="724">
        <v>0.29166666666666669</v>
      </c>
      <c r="F16" s="724">
        <f>TIME(0,30,0)</f>
        <v>2.0833333333333332E-2</v>
      </c>
      <c r="G16" s="724">
        <v>0.75</v>
      </c>
      <c r="H16" s="654"/>
      <c r="I16" s="657" t="s">
        <v>481</v>
      </c>
      <c r="J16" s="654" t="s">
        <v>475</v>
      </c>
      <c r="K16" s="657"/>
      <c r="L16" s="654"/>
      <c r="M16" s="657">
        <v>45</v>
      </c>
      <c r="N16" s="714"/>
      <c r="O16" s="1084">
        <v>1528</v>
      </c>
      <c r="P16" s="1089">
        <v>1528</v>
      </c>
      <c r="Q16" s="1001"/>
      <c r="R16" s="1003">
        <f>R15-R14</f>
        <v>-15012.720000000001</v>
      </c>
      <c r="S16" s="1008"/>
      <c r="T16" s="1001" t="s">
        <v>513</v>
      </c>
      <c r="U16" s="1002">
        <f>U15-U14</f>
        <v>47094.28</v>
      </c>
      <c r="V16" s="642">
        <f t="shared" si="5"/>
        <v>3</v>
      </c>
    </row>
    <row r="17" spans="1:22" x14ac:dyDescent="0.25">
      <c r="A17" s="1080">
        <v>44728</v>
      </c>
      <c r="B17" s="657" t="str">
        <f t="shared" si="0"/>
        <v>Čt</v>
      </c>
      <c r="C17" s="724">
        <f t="shared" si="1"/>
        <v>0.4375</v>
      </c>
      <c r="D17" s="1079">
        <f t="shared" si="2"/>
        <v>0</v>
      </c>
      <c r="E17" s="724">
        <v>0.29166666666666669</v>
      </c>
      <c r="F17" s="724">
        <f>TIME(0,30,0)</f>
        <v>2.0833333333333332E-2</v>
      </c>
      <c r="G17" s="724">
        <v>0.75</v>
      </c>
      <c r="H17" s="654"/>
      <c r="I17" s="657"/>
      <c r="J17" s="654"/>
      <c r="K17" s="657"/>
      <c r="L17" s="654"/>
      <c r="M17" s="657"/>
      <c r="N17" s="714"/>
      <c r="O17" s="654" t="s">
        <v>31</v>
      </c>
      <c r="P17" s="1026" t="s">
        <v>31</v>
      </c>
      <c r="Q17" s="1002">
        <f>R16-Q5-Q7</f>
        <v>-55572.72</v>
      </c>
      <c r="R17" s="1001"/>
      <c r="S17" s="1009"/>
      <c r="T17" s="1001" t="s">
        <v>514</v>
      </c>
      <c r="U17" s="1002">
        <f>U16-Q5-Q7</f>
        <v>6534.2799999999988</v>
      </c>
      <c r="V17" s="642">
        <f t="shared" si="5"/>
        <v>4</v>
      </c>
    </row>
    <row r="18" spans="1:22" x14ac:dyDescent="0.25">
      <c r="A18" s="1080">
        <v>44729</v>
      </c>
      <c r="B18" s="657" t="str">
        <f t="shared" si="0"/>
        <v>Pá</v>
      </c>
      <c r="C18" s="724">
        <f t="shared" si="1"/>
        <v>0.4375</v>
      </c>
      <c r="D18" s="1079">
        <f t="shared" si="2"/>
        <v>0</v>
      </c>
      <c r="E18" s="724">
        <v>0.29166666666666669</v>
      </c>
      <c r="F18" s="724">
        <f>TIME(0,30,0)</f>
        <v>2.0833333333333332E-2</v>
      </c>
      <c r="G18" s="724">
        <v>0.75</v>
      </c>
      <c r="H18" s="654"/>
      <c r="I18" s="657"/>
      <c r="J18" s="654"/>
      <c r="K18" s="657"/>
      <c r="L18" s="654"/>
      <c r="M18" s="657"/>
      <c r="N18" s="714"/>
      <c r="O18" s="1083">
        <v>2530</v>
      </c>
      <c r="P18" s="1088">
        <v>2530</v>
      </c>
      <c r="Q18" s="1001"/>
      <c r="R18" s="1001"/>
      <c r="S18" s="1008"/>
      <c r="T18" s="1001"/>
      <c r="U18" s="1001"/>
      <c r="V18" s="642">
        <f t="shared" si="5"/>
        <v>5</v>
      </c>
    </row>
    <row r="19" spans="1:22" x14ac:dyDescent="0.25">
      <c r="A19" s="1080">
        <v>44730</v>
      </c>
      <c r="B19" s="657" t="str">
        <f t="shared" si="0"/>
        <v>So</v>
      </c>
      <c r="C19" s="724">
        <f t="shared" si="1"/>
        <v>0.33333333333333331</v>
      </c>
      <c r="D19" s="1079">
        <f t="shared" si="2"/>
        <v>0</v>
      </c>
      <c r="E19" s="724">
        <v>0.29166666666666669</v>
      </c>
      <c r="F19" s="724"/>
      <c r="G19" s="724">
        <v>0.625</v>
      </c>
      <c r="H19" s="654"/>
      <c r="I19" s="657"/>
      <c r="J19" s="654"/>
      <c r="K19" s="657"/>
      <c r="L19" s="654"/>
      <c r="M19" s="657"/>
      <c r="N19" s="714"/>
      <c r="O19" s="1083" t="s">
        <v>33</v>
      </c>
      <c r="P19" s="1088" t="s">
        <v>33</v>
      </c>
      <c r="Q19" s="1001"/>
      <c r="R19" s="1001"/>
      <c r="S19" s="1008"/>
      <c r="T19" s="1001"/>
      <c r="U19" s="1001"/>
      <c r="V19" s="642">
        <f t="shared" si="5"/>
        <v>6</v>
      </c>
    </row>
    <row r="20" spans="1:22" x14ac:dyDescent="0.25">
      <c r="A20" s="1080">
        <v>44731</v>
      </c>
      <c r="B20" s="657" t="str">
        <f t="shared" si="0"/>
        <v>Ne</v>
      </c>
      <c r="C20" s="724">
        <f t="shared" si="1"/>
        <v>0</v>
      </c>
      <c r="D20" s="1079">
        <f t="shared" si="2"/>
        <v>0</v>
      </c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>
        <v>20460</v>
      </c>
      <c r="P20" s="1088">
        <v>20460</v>
      </c>
      <c r="Q20" s="1001"/>
      <c r="R20" s="1001"/>
      <c r="S20" s="1008"/>
      <c r="T20" s="1001"/>
      <c r="U20" s="1001"/>
      <c r="V20" s="642">
        <f t="shared" si="5"/>
        <v>7</v>
      </c>
    </row>
    <row r="21" spans="1:22" x14ac:dyDescent="0.25">
      <c r="A21" s="1080">
        <v>44732</v>
      </c>
      <c r="B21" s="657" t="str">
        <f t="shared" si="0"/>
        <v>Po</v>
      </c>
      <c r="C21" s="724">
        <f t="shared" si="1"/>
        <v>0.4375</v>
      </c>
      <c r="D21" s="1079">
        <f t="shared" si="2"/>
        <v>0</v>
      </c>
      <c r="E21" s="724">
        <v>0.29166666666666669</v>
      </c>
      <c r="F21" s="724">
        <f>TIME(0,30,0)</f>
        <v>2.0833333333333332E-2</v>
      </c>
      <c r="G21" s="724">
        <v>0.75</v>
      </c>
      <c r="H21" s="654"/>
      <c r="I21" s="657"/>
      <c r="J21" s="654"/>
      <c r="K21" s="657"/>
      <c r="L21" s="654"/>
      <c r="M21" s="657"/>
      <c r="N21" s="714"/>
      <c r="O21" s="1083" t="s">
        <v>34</v>
      </c>
      <c r="P21" s="1088" t="s">
        <v>34</v>
      </c>
      <c r="Q21" s="1001"/>
      <c r="R21" s="1001"/>
      <c r="S21" s="1008"/>
      <c r="T21" s="1001"/>
      <c r="U21" s="1001"/>
      <c r="V21" s="642">
        <f t="shared" si="5"/>
        <v>1</v>
      </c>
    </row>
    <row r="22" spans="1:22" x14ac:dyDescent="0.25">
      <c r="A22" s="1080">
        <v>44733</v>
      </c>
      <c r="B22" s="657" t="str">
        <f t="shared" si="0"/>
        <v>Út</v>
      </c>
      <c r="C22" s="724">
        <f t="shared" si="1"/>
        <v>0.4375</v>
      </c>
      <c r="D22" s="1079">
        <f t="shared" si="2"/>
        <v>0</v>
      </c>
      <c r="E22" s="724">
        <v>0.29166666666666669</v>
      </c>
      <c r="F22" s="724">
        <f>TIME(0,30,0)</f>
        <v>2.0833333333333332E-2</v>
      </c>
      <c r="G22" s="724">
        <v>0.75</v>
      </c>
      <c r="H22" s="654"/>
      <c r="I22" s="657"/>
      <c r="J22" s="654"/>
      <c r="K22" s="657"/>
      <c r="L22" s="654"/>
      <c r="M22" s="657"/>
      <c r="N22" s="714"/>
      <c r="O22" s="1083">
        <v>200</v>
      </c>
      <c r="P22" s="1088">
        <v>200</v>
      </c>
      <c r="Q22" s="1001"/>
      <c r="R22" s="1017"/>
      <c r="S22" s="718"/>
      <c r="T22" s="1001"/>
      <c r="U22" s="1001"/>
      <c r="V22" s="642">
        <f t="shared" si="5"/>
        <v>2</v>
      </c>
    </row>
    <row r="23" spans="1:22" x14ac:dyDescent="0.25">
      <c r="A23" s="1080">
        <v>44734</v>
      </c>
      <c r="B23" s="657" t="str">
        <f t="shared" si="0"/>
        <v>St</v>
      </c>
      <c r="C23" s="724">
        <f t="shared" si="1"/>
        <v>0.4375</v>
      </c>
      <c r="D23" s="1079">
        <f t="shared" si="2"/>
        <v>0</v>
      </c>
      <c r="E23" s="724">
        <v>0.29166666666666669</v>
      </c>
      <c r="F23" s="724">
        <f>TIME(0,30,0)</f>
        <v>2.0833333333333332E-2</v>
      </c>
      <c r="G23" s="724">
        <v>0.75</v>
      </c>
      <c r="H23" s="654"/>
      <c r="I23" s="657"/>
      <c r="J23" s="654"/>
      <c r="K23" s="657"/>
      <c r="L23" s="654"/>
      <c r="M23" s="657"/>
      <c r="N23" s="714"/>
      <c r="O23" s="1085" t="s">
        <v>364</v>
      </c>
      <c r="P23" s="1090" t="s">
        <v>363</v>
      </c>
      <c r="Q23" s="1015">
        <f>Q17-P24</f>
        <v>-8051.7200000000012</v>
      </c>
      <c r="R23" s="1018"/>
      <c r="S23" s="1015">
        <f>U17-O26</f>
        <v>-8051.7200000000012</v>
      </c>
      <c r="T23" s="1001"/>
      <c r="U23" s="1001"/>
      <c r="V23" s="642">
        <f t="shared" si="5"/>
        <v>3</v>
      </c>
    </row>
    <row r="24" spans="1:22" x14ac:dyDescent="0.25">
      <c r="A24" s="1080">
        <v>44735</v>
      </c>
      <c r="B24" s="657" t="str">
        <f t="shared" si="0"/>
        <v>Čt</v>
      </c>
      <c r="C24" s="724">
        <f t="shared" si="1"/>
        <v>0.4375</v>
      </c>
      <c r="D24" s="1079">
        <f t="shared" si="2"/>
        <v>0</v>
      </c>
      <c r="E24" s="724">
        <v>0.29166666666666669</v>
      </c>
      <c r="F24" s="724">
        <f>TIME(0,30,0)</f>
        <v>2.0833333333333332E-2</v>
      </c>
      <c r="G24" s="724">
        <v>0.75</v>
      </c>
      <c r="H24" s="654"/>
      <c r="I24" s="657"/>
      <c r="J24" s="654"/>
      <c r="K24" s="657"/>
      <c r="L24" s="654"/>
      <c r="M24" s="657"/>
      <c r="N24" s="714"/>
      <c r="O24" s="1086">
        <f>P12-Q5</f>
        <v>31948.28</v>
      </c>
      <c r="P24" s="1088">
        <f>O26-O28</f>
        <v>-47521</v>
      </c>
      <c r="Q24" s="1020"/>
      <c r="R24" s="1019"/>
      <c r="S24" s="1006"/>
      <c r="T24" s="1006"/>
      <c r="U24" s="1006"/>
      <c r="V24" s="642">
        <f t="shared" si="5"/>
        <v>4</v>
      </c>
    </row>
    <row r="25" spans="1:22" x14ac:dyDescent="0.25">
      <c r="A25" s="1080">
        <v>44736</v>
      </c>
      <c r="B25" s="657" t="str">
        <f t="shared" si="0"/>
        <v>Pá</v>
      </c>
      <c r="C25" s="724">
        <f t="shared" si="1"/>
        <v>0.20833333333333331</v>
      </c>
      <c r="D25" s="1079">
        <f t="shared" si="2"/>
        <v>0</v>
      </c>
      <c r="E25" s="724">
        <v>0.29166666666666669</v>
      </c>
      <c r="F25" s="724"/>
      <c r="G25" s="724">
        <v>0.5</v>
      </c>
      <c r="H25" s="654"/>
      <c r="I25" s="657"/>
      <c r="J25" s="654"/>
      <c r="K25" s="657"/>
      <c r="L25" s="654"/>
      <c r="M25" s="657"/>
      <c r="N25" s="714"/>
      <c r="O25" s="654" t="s">
        <v>372</v>
      </c>
      <c r="P25" s="1026"/>
      <c r="Q25" s="718"/>
      <c r="R25" s="718"/>
      <c r="S25" s="718"/>
      <c r="T25" s="718"/>
      <c r="U25" s="718"/>
      <c r="V25" s="642">
        <f t="shared" si="5"/>
        <v>5</v>
      </c>
    </row>
    <row r="26" spans="1:22" x14ac:dyDescent="0.25">
      <c r="A26" s="1080">
        <v>44737</v>
      </c>
      <c r="B26" s="657" t="str">
        <f t="shared" si="0"/>
        <v>So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1083">
        <v>14586</v>
      </c>
      <c r="P26" s="1088"/>
      <c r="Q26" s="718"/>
      <c r="R26" s="718"/>
      <c r="S26" s="718"/>
      <c r="T26" s="718"/>
      <c r="U26" s="718"/>
      <c r="V26" s="642">
        <f t="shared" si="5"/>
        <v>6</v>
      </c>
    </row>
    <row r="27" spans="1:22" x14ac:dyDescent="0.25">
      <c r="A27" s="1080">
        <v>44738</v>
      </c>
      <c r="B27" s="657" t="str">
        <f t="shared" si="0"/>
        <v>Ne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654" t="s">
        <v>373</v>
      </c>
      <c r="P27" s="1026"/>
      <c r="Q27" s="718"/>
      <c r="R27" s="718"/>
      <c r="S27" s="718"/>
      <c r="T27" s="718"/>
      <c r="U27" s="718"/>
      <c r="V27" s="642">
        <f t="shared" si="5"/>
        <v>7</v>
      </c>
    </row>
    <row r="28" spans="1:22" x14ac:dyDescent="0.25">
      <c r="A28" s="1080">
        <v>44739</v>
      </c>
      <c r="B28" s="657" t="str">
        <f t="shared" si="0"/>
        <v>Po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1083">
        <f>'05hod22'!O26</f>
        <v>62107</v>
      </c>
      <c r="P28" s="1026"/>
      <c r="Q28" s="718"/>
      <c r="R28" s="718"/>
      <c r="S28" s="718"/>
      <c r="T28" s="718"/>
      <c r="U28" s="718"/>
      <c r="V28" s="642">
        <f t="shared" si="5"/>
        <v>1</v>
      </c>
    </row>
    <row r="29" spans="1:22" x14ac:dyDescent="0.25">
      <c r="A29" s="1080">
        <v>44740</v>
      </c>
      <c r="B29" s="657" t="str">
        <f t="shared" si="0"/>
        <v>Út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/>
      <c r="P29" s="1083"/>
      <c r="Q29" s="718"/>
      <c r="R29" s="718"/>
      <c r="S29" s="718"/>
      <c r="T29" s="718"/>
      <c r="U29" s="718"/>
      <c r="V29" s="642">
        <f t="shared" si="5"/>
        <v>2</v>
      </c>
    </row>
    <row r="30" spans="1:22" x14ac:dyDescent="0.25">
      <c r="A30" s="1080">
        <v>44741</v>
      </c>
      <c r="B30" s="657" t="str">
        <f t="shared" si="0"/>
        <v>St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918"/>
      <c r="P30" s="1091"/>
      <c r="Q30" s="718"/>
      <c r="R30" s="718"/>
      <c r="S30" s="718"/>
      <c r="T30" s="718"/>
      <c r="U30" s="718"/>
      <c r="V30" s="642">
        <f t="shared" si="5"/>
        <v>3</v>
      </c>
    </row>
    <row r="31" spans="1:22" x14ac:dyDescent="0.25">
      <c r="A31" s="1080">
        <v>44742</v>
      </c>
      <c r="B31" s="657" t="str">
        <f t="shared" si="0"/>
        <v>Čt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654"/>
      <c r="P31" s="1026"/>
      <c r="Q31" s="718"/>
      <c r="R31" s="718"/>
      <c r="S31" s="718"/>
      <c r="T31" s="718"/>
      <c r="U31" s="718"/>
      <c r="V31" s="642">
        <f t="shared" si="5"/>
        <v>4</v>
      </c>
    </row>
    <row r="32" spans="1:22" x14ac:dyDescent="0.25">
      <c r="A32" s="1080">
        <v>44743</v>
      </c>
      <c r="B32" s="657" t="str">
        <f t="shared" si="0"/>
        <v>Pá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718"/>
      <c r="R32" s="718"/>
      <c r="S32" s="718"/>
      <c r="T32" s="718"/>
      <c r="U32" s="718"/>
      <c r="V32" s="642">
        <f t="shared" si="5"/>
        <v>5</v>
      </c>
    </row>
    <row r="33" spans="1:22" x14ac:dyDescent="0.25">
      <c r="A33" s="1080">
        <v>44744</v>
      </c>
      <c r="B33" s="657" t="str">
        <f t="shared" si="0"/>
        <v>So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718"/>
      <c r="R33" s="718"/>
      <c r="S33" s="718"/>
      <c r="T33" s="718"/>
      <c r="U33" s="718"/>
      <c r="V33" s="642">
        <f>WEEKDAY(A33,2)</f>
        <v>6</v>
      </c>
    </row>
    <row r="34" spans="1:22" x14ac:dyDescent="0.25">
      <c r="A34" s="1080">
        <v>44745</v>
      </c>
      <c r="B34" s="657" t="str">
        <f t="shared" si="0"/>
        <v>Ne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718"/>
      <c r="R34" s="718"/>
      <c r="S34" s="718"/>
      <c r="T34" s="718"/>
      <c r="U34" s="718"/>
      <c r="V34" s="642">
        <f t="shared" ref="V34:V35" si="6">WEEKDAY(A34,2)</f>
        <v>7</v>
      </c>
    </row>
    <row r="35" spans="1:22" ht="15.75" thickBot="1" x14ac:dyDescent="0.3">
      <c r="A35" s="1080">
        <v>44746</v>
      </c>
      <c r="B35" s="658" t="str">
        <f t="shared" si="0"/>
        <v>Po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8"/>
      <c r="L35" s="654"/>
      <c r="M35" s="658"/>
      <c r="N35" s="1087"/>
      <c r="O35" s="655"/>
      <c r="P35" s="1027"/>
      <c r="Q35" s="718"/>
      <c r="R35" s="718"/>
      <c r="S35" s="718"/>
      <c r="T35" s="718"/>
      <c r="U35" s="718"/>
      <c r="V35" s="642">
        <f t="shared" si="6"/>
        <v>1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SUM(C2:C31)</f>
        <v>8.0624999999999982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A89474-81DD-514A-A368-D6A60B6A9A91}">
  <sheetPr>
    <tabColor theme="3"/>
  </sheetPr>
  <dimension ref="A1:V45"/>
  <sheetViews>
    <sheetView topLeftCell="U6" zoomScaleNormal="60" zoomScaleSheetLayoutView="100" workbookViewId="0">
      <selection activeCell="P19" sqref="P19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4.28515625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1080">
        <v>44743</v>
      </c>
      <c r="B2" s="656" t="str">
        <f t="shared" ref="B2:B35" si="0">CHOOSE(WEEKDAY(V2),"Po","Út","St","Čt","Pá","So","Ne")</f>
        <v>Pá</v>
      </c>
      <c r="C2" s="724">
        <f t="shared" ref="C2:C35" si="1">G2-E2-F2</f>
        <v>0</v>
      </c>
      <c r="D2" s="1079">
        <f t="shared" ref="D2:D35" si="2">(N2*C2)*24</f>
        <v>0</v>
      </c>
      <c r="E2" s="724"/>
      <c r="F2" s="724"/>
      <c r="G2" s="724"/>
      <c r="H2" s="654"/>
      <c r="I2" s="657"/>
      <c r="J2" s="654"/>
      <c r="K2" s="656"/>
      <c r="L2" s="654"/>
      <c r="M2" s="657"/>
      <c r="N2" s="713"/>
      <c r="O2" s="1081">
        <f>(O4+O6)</f>
        <v>167.99999999999991</v>
      </c>
      <c r="P2" s="656">
        <f t="shared" ref="P2" si="3">P4+P6</f>
        <v>0</v>
      </c>
      <c r="Q2" s="1094">
        <f>'06hod22'!Q5</f>
        <v>560</v>
      </c>
      <c r="R2" s="644" t="s">
        <v>17</v>
      </c>
      <c r="S2" s="1092" t="str">
        <f>'06hod22'!S5</f>
        <v>Výplata za Červen</v>
      </c>
      <c r="T2" s="1093" t="str">
        <f>'06hod22'!T5</f>
        <v>xx.07.2022</v>
      </c>
      <c r="U2" s="722">
        <f>T7*20</f>
        <v>0</v>
      </c>
      <c r="V2" s="642">
        <f t="shared" ref="V2:V32" si="4">WEEKDAY(A2,2)</f>
        <v>5</v>
      </c>
    </row>
    <row r="3" spans="1:22" x14ac:dyDescent="0.25">
      <c r="A3" s="1080">
        <v>44744</v>
      </c>
      <c r="B3" s="657" t="str">
        <f t="shared" si="0"/>
        <v>So</v>
      </c>
      <c r="C3" s="724">
        <f t="shared" si="1"/>
        <v>0</v>
      </c>
      <c r="D3" s="1079">
        <f t="shared" si="2"/>
        <v>0</v>
      </c>
      <c r="E3" s="724"/>
      <c r="F3" s="724"/>
      <c r="G3" s="724"/>
      <c r="H3" s="654"/>
      <c r="I3" s="657"/>
      <c r="J3" s="654"/>
      <c r="K3" s="657"/>
      <c r="L3" s="654"/>
      <c r="M3" s="657"/>
      <c r="N3" s="714"/>
      <c r="O3" s="654" t="s">
        <v>19</v>
      </c>
      <c r="P3" s="657" t="s">
        <v>19</v>
      </c>
      <c r="Q3" s="738">
        <v>0</v>
      </c>
      <c r="R3" s="611" t="s">
        <v>48</v>
      </c>
      <c r="S3" s="611" t="s">
        <v>48</v>
      </c>
      <c r="T3" s="874">
        <v>1</v>
      </c>
      <c r="U3" s="718"/>
      <c r="V3" s="642">
        <f t="shared" si="4"/>
        <v>6</v>
      </c>
    </row>
    <row r="4" spans="1:22" x14ac:dyDescent="0.25">
      <c r="A4" s="1080">
        <v>44745</v>
      </c>
      <c r="B4" s="657" t="str">
        <f t="shared" si="0"/>
        <v>Ne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1082">
        <f>O40*24</f>
        <v>167.99999999999991</v>
      </c>
      <c r="P4" s="657">
        <v>0</v>
      </c>
      <c r="Q4" s="738">
        <v>30000</v>
      </c>
      <c r="R4" s="611" t="s">
        <v>17</v>
      </c>
      <c r="S4" s="611" t="s">
        <v>158</v>
      </c>
      <c r="T4" s="646"/>
      <c r="U4" s="718"/>
      <c r="V4" s="642">
        <f t="shared" si="4"/>
        <v>7</v>
      </c>
    </row>
    <row r="5" spans="1:22" x14ac:dyDescent="0.25">
      <c r="A5" s="1080">
        <v>44746</v>
      </c>
      <c r="B5" s="657" t="str">
        <f t="shared" si="0"/>
        <v>Po</v>
      </c>
      <c r="C5" s="724">
        <f t="shared" si="1"/>
        <v>0</v>
      </c>
      <c r="D5" s="1079">
        <f t="shared" si="2"/>
        <v>0</v>
      </c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654" t="s">
        <v>14</v>
      </c>
      <c r="P5" s="657" t="s">
        <v>14</v>
      </c>
      <c r="Q5" s="738">
        <v>0</v>
      </c>
      <c r="R5" s="611" t="s">
        <v>17</v>
      </c>
      <c r="S5" s="611" t="s">
        <v>559</v>
      </c>
      <c r="T5" s="646" t="s">
        <v>527</v>
      </c>
      <c r="U5" s="718"/>
      <c r="V5" s="642">
        <f t="shared" si="4"/>
        <v>1</v>
      </c>
    </row>
    <row r="6" spans="1:22" ht="15.75" thickBot="1" x14ac:dyDescent="0.3">
      <c r="A6" s="1080">
        <v>44747</v>
      </c>
      <c r="B6" s="657" t="str">
        <f t="shared" si="0"/>
        <v>Út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1082">
        <f>O41*24</f>
        <v>0</v>
      </c>
      <c r="P6" s="657">
        <v>0</v>
      </c>
      <c r="Q6" s="712" t="s">
        <v>175</v>
      </c>
      <c r="R6" s="647"/>
      <c r="S6" s="647" t="s">
        <v>48</v>
      </c>
      <c r="T6" s="648"/>
      <c r="U6" s="718"/>
      <c r="V6" s="642">
        <f t="shared" si="4"/>
        <v>2</v>
      </c>
    </row>
    <row r="7" spans="1:22" x14ac:dyDescent="0.25">
      <c r="A7" s="1080">
        <v>44748</v>
      </c>
      <c r="B7" s="657" t="str">
        <f t="shared" si="0"/>
        <v>St</v>
      </c>
      <c r="C7" s="724">
        <f t="shared" si="1"/>
        <v>0</v>
      </c>
      <c r="D7" s="1079">
        <f t="shared" si="2"/>
        <v>0</v>
      </c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654" t="s">
        <v>20</v>
      </c>
      <c r="P7" s="1026" t="s">
        <v>20</v>
      </c>
      <c r="Q7" s="721">
        <f>Q3+Q4</f>
        <v>30000</v>
      </c>
      <c r="R7" s="718"/>
      <c r="S7" s="718"/>
      <c r="T7" s="718"/>
      <c r="U7" s="718"/>
      <c r="V7" s="642">
        <f t="shared" si="4"/>
        <v>3</v>
      </c>
    </row>
    <row r="8" spans="1:22" x14ac:dyDescent="0.25">
      <c r="A8" s="1080">
        <v>44749</v>
      </c>
      <c r="B8" s="657" t="str">
        <f t="shared" si="0"/>
        <v>Čt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509</v>
      </c>
      <c r="P8" s="1026" t="s">
        <v>509</v>
      </c>
      <c r="Q8" s="657" t="s">
        <v>229</v>
      </c>
      <c r="R8" s="718"/>
      <c r="S8" s="718"/>
      <c r="T8" s="718"/>
      <c r="U8" s="718"/>
      <c r="V8" s="642">
        <f t="shared" si="4"/>
        <v>4</v>
      </c>
    </row>
    <row r="9" spans="1:22" x14ac:dyDescent="0.25">
      <c r="A9" s="1080">
        <v>44750</v>
      </c>
      <c r="B9" s="657" t="str">
        <f t="shared" si="0"/>
        <v>Pá</v>
      </c>
      <c r="C9" s="724">
        <f t="shared" si="1"/>
        <v>0</v>
      </c>
      <c r="D9" s="1079">
        <f t="shared" si="2"/>
        <v>0</v>
      </c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23</v>
      </c>
      <c r="P9" s="1026" t="s">
        <v>23</v>
      </c>
      <c r="Q9" s="657">
        <f>SUM(Q2:Q4)</f>
        <v>30560</v>
      </c>
      <c r="R9" s="718"/>
      <c r="S9" s="718"/>
      <c r="T9" s="718"/>
      <c r="U9" s="718"/>
      <c r="V9" s="642">
        <f t="shared" si="4"/>
        <v>5</v>
      </c>
    </row>
    <row r="10" spans="1:22" x14ac:dyDescent="0.25">
      <c r="A10" s="1080">
        <v>44751</v>
      </c>
      <c r="B10" s="657" t="str">
        <f t="shared" si="0"/>
        <v>So</v>
      </c>
      <c r="C10" s="724">
        <f t="shared" si="1"/>
        <v>0</v>
      </c>
      <c r="D10" s="1079">
        <f t="shared" si="2"/>
        <v>0</v>
      </c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1083">
        <f>(O2*380)+U2</f>
        <v>63839.999999999971</v>
      </c>
      <c r="P10" s="1088">
        <f>SUM(P2*380)</f>
        <v>0</v>
      </c>
      <c r="Q10" s="719"/>
      <c r="R10" s="718"/>
      <c r="S10" s="718"/>
      <c r="T10" s="718"/>
      <c r="U10" s="718"/>
      <c r="V10" s="642">
        <f t="shared" si="4"/>
        <v>6</v>
      </c>
    </row>
    <row r="11" spans="1:22" x14ac:dyDescent="0.25">
      <c r="A11" s="1080">
        <v>44752</v>
      </c>
      <c r="B11" s="657" t="str">
        <f t="shared" si="0"/>
        <v>Ne</v>
      </c>
      <c r="C11" s="724">
        <f t="shared" si="1"/>
        <v>0</v>
      </c>
      <c r="D11" s="1079">
        <f t="shared" si="2"/>
        <v>0</v>
      </c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654" t="s">
        <v>361</v>
      </c>
      <c r="P11" s="1026" t="s">
        <v>361</v>
      </c>
      <c r="Q11" s="718"/>
      <c r="R11" s="718"/>
      <c r="S11" s="718"/>
      <c r="T11" s="718"/>
      <c r="U11" s="718"/>
      <c r="V11" s="642">
        <f t="shared" si="4"/>
        <v>7</v>
      </c>
    </row>
    <row r="12" spans="1:22" x14ac:dyDescent="0.25">
      <c r="A12" s="1080">
        <v>44753</v>
      </c>
      <c r="B12" s="657" t="str">
        <f t="shared" si="0"/>
        <v>Po</v>
      </c>
      <c r="C12" s="724">
        <f>G12-E12-F12</f>
        <v>0.20833333333333326</v>
      </c>
      <c r="D12" s="1079">
        <f t="shared" si="2"/>
        <v>29.999999999999989</v>
      </c>
      <c r="E12" s="724">
        <v>0.58333333333333337</v>
      </c>
      <c r="F12" s="724"/>
      <c r="G12" s="724">
        <v>0.79166666666666663</v>
      </c>
      <c r="H12" s="654"/>
      <c r="I12" s="657"/>
      <c r="J12" s="654"/>
      <c r="K12" s="657"/>
      <c r="L12" s="654"/>
      <c r="M12" s="657"/>
      <c r="N12" s="714">
        <v>6</v>
      </c>
      <c r="O12" s="1083">
        <f>(O10+O20+O18-O22)-O14-P24</f>
        <v>50458.999999999971</v>
      </c>
      <c r="P12" s="1088">
        <f>(P10+P18+P20-P22)-P14-P24</f>
        <v>-13381</v>
      </c>
      <c r="Q12" s="718"/>
      <c r="R12" s="718"/>
      <c r="S12" s="718"/>
      <c r="T12" s="718"/>
      <c r="U12" s="718"/>
      <c r="V12" s="642">
        <f t="shared" si="4"/>
        <v>1</v>
      </c>
    </row>
    <row r="13" spans="1:22" x14ac:dyDescent="0.25">
      <c r="A13" s="1080">
        <v>44754</v>
      </c>
      <c r="B13" s="657" t="str">
        <f t="shared" si="0"/>
        <v>Út</v>
      </c>
      <c r="C13" s="724">
        <f t="shared" si="1"/>
        <v>0.45833333333333326</v>
      </c>
      <c r="D13" s="1079">
        <f t="shared" si="2"/>
        <v>65.999999999999986</v>
      </c>
      <c r="E13" s="724">
        <v>0.29166666666666669</v>
      </c>
      <c r="F13" s="724">
        <f>TIME(1,0,0)</f>
        <v>4.1666666666666664E-2</v>
      </c>
      <c r="G13" s="724">
        <v>0.79166666666666663</v>
      </c>
      <c r="H13" s="654"/>
      <c r="I13" s="657"/>
      <c r="J13" s="654"/>
      <c r="K13" s="657"/>
      <c r="L13" s="654"/>
      <c r="M13" s="657"/>
      <c r="N13" s="714">
        <v>6</v>
      </c>
      <c r="O13" s="654" t="s">
        <v>26</v>
      </c>
      <c r="P13" s="1088" t="s">
        <v>26</v>
      </c>
      <c r="Q13" s="718"/>
      <c r="R13" s="718"/>
      <c r="S13" s="718"/>
      <c r="T13" s="718"/>
      <c r="U13" s="718"/>
      <c r="V13" s="642">
        <f t="shared" si="4"/>
        <v>2</v>
      </c>
    </row>
    <row r="14" spans="1:22" x14ac:dyDescent="0.25">
      <c r="A14" s="1080">
        <v>44755</v>
      </c>
      <c r="B14" s="657" t="str">
        <f t="shared" si="0"/>
        <v>St</v>
      </c>
      <c r="C14" s="724">
        <f t="shared" si="1"/>
        <v>0.45833333333333326</v>
      </c>
      <c r="D14" s="1079">
        <f t="shared" si="2"/>
        <v>0</v>
      </c>
      <c r="E14" s="724">
        <v>0.29166666666666669</v>
      </c>
      <c r="F14" s="724">
        <f>TIME(1,0,0)</f>
        <v>4.1666666666666664E-2</v>
      </c>
      <c r="G14" s="724">
        <v>0.79166666666666663</v>
      </c>
      <c r="H14" s="654"/>
      <c r="I14" s="657"/>
      <c r="J14" s="654"/>
      <c r="K14" s="657"/>
      <c r="L14" s="654"/>
      <c r="M14" s="657"/>
      <c r="N14" s="714"/>
      <c r="O14" s="1083">
        <f>(O16*24.61)</f>
        <v>9844</v>
      </c>
      <c r="P14" s="1088">
        <f>(P16*24.61)</f>
        <v>9844</v>
      </c>
      <c r="Q14" s="923" t="s">
        <v>458</v>
      </c>
      <c r="R14" s="1004">
        <f>P14+P22-P18-P20</f>
        <v>-4360</v>
      </c>
      <c r="S14" s="1007"/>
      <c r="T14" s="923" t="s">
        <v>462</v>
      </c>
      <c r="U14" s="1004">
        <f>P14+P22</f>
        <v>13031</v>
      </c>
      <c r="V14" s="642">
        <f t="shared" si="4"/>
        <v>3</v>
      </c>
    </row>
    <row r="15" spans="1:22" x14ac:dyDescent="0.25">
      <c r="A15" s="1080">
        <v>44756</v>
      </c>
      <c r="B15" s="657" t="str">
        <f t="shared" si="0"/>
        <v>Čt</v>
      </c>
      <c r="C15" s="724">
        <f t="shared" si="1"/>
        <v>0.45833333333333326</v>
      </c>
      <c r="D15" s="1079">
        <f t="shared" si="2"/>
        <v>0</v>
      </c>
      <c r="E15" s="724">
        <v>0.29166666666666669</v>
      </c>
      <c r="F15" s="724">
        <f>TIME(1,0,0)</f>
        <v>4.1666666666666664E-2</v>
      </c>
      <c r="G15" s="724">
        <v>0.79166666666666663</v>
      </c>
      <c r="H15" s="654"/>
      <c r="I15" s="657"/>
      <c r="J15" s="654"/>
      <c r="K15" s="657"/>
      <c r="L15" s="654"/>
      <c r="M15" s="657"/>
      <c r="N15" s="714"/>
      <c r="O15" s="654" t="s">
        <v>29</v>
      </c>
      <c r="P15" s="1026" t="s">
        <v>29</v>
      </c>
      <c r="Q15" s="1001" t="s">
        <v>459</v>
      </c>
      <c r="R15" s="1002">
        <f>P10</f>
        <v>0</v>
      </c>
      <c r="S15" s="1008"/>
      <c r="T15" s="1001" t="s">
        <v>463</v>
      </c>
      <c r="U15" s="1002">
        <f>P10+P18+P20+O28</f>
        <v>31977</v>
      </c>
      <c r="V15" s="642">
        <f t="shared" si="4"/>
        <v>4</v>
      </c>
    </row>
    <row r="16" spans="1:22" x14ac:dyDescent="0.25">
      <c r="A16" s="1080">
        <v>44757</v>
      </c>
      <c r="B16" s="657" t="str">
        <f t="shared" si="0"/>
        <v>Pá</v>
      </c>
      <c r="C16" s="724">
        <f t="shared" si="1"/>
        <v>0.16666666666666663</v>
      </c>
      <c r="D16" s="1079">
        <f t="shared" si="2"/>
        <v>0</v>
      </c>
      <c r="E16" s="724">
        <v>0.29166666666666669</v>
      </c>
      <c r="F16" s="724"/>
      <c r="G16" s="724">
        <v>0.45833333333333331</v>
      </c>
      <c r="H16" s="654"/>
      <c r="I16" s="657"/>
      <c r="J16" s="654"/>
      <c r="K16" s="657"/>
      <c r="L16" s="654"/>
      <c r="M16" s="657"/>
      <c r="N16" s="714"/>
      <c r="O16" s="1084">
        <v>400</v>
      </c>
      <c r="P16" s="1089">
        <v>400</v>
      </c>
      <c r="Q16" s="1001"/>
      <c r="R16" s="1003">
        <f>R15-R14</f>
        <v>4360</v>
      </c>
      <c r="S16" s="1008"/>
      <c r="T16" s="1001" t="s">
        <v>513</v>
      </c>
      <c r="U16" s="1002">
        <f>U15-U14</f>
        <v>18946</v>
      </c>
      <c r="V16" s="642">
        <f t="shared" si="4"/>
        <v>5</v>
      </c>
    </row>
    <row r="17" spans="1:22" x14ac:dyDescent="0.25">
      <c r="A17" s="1080">
        <v>44758</v>
      </c>
      <c r="B17" s="657" t="str">
        <f t="shared" si="0"/>
        <v>So</v>
      </c>
      <c r="C17" s="724">
        <f t="shared" si="1"/>
        <v>0</v>
      </c>
      <c r="D17" s="1079">
        <f t="shared" si="2"/>
        <v>0</v>
      </c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654" t="s">
        <v>31</v>
      </c>
      <c r="P17" s="1026" t="s">
        <v>31</v>
      </c>
      <c r="Q17" s="1002">
        <f>R16-Q5-Q7</f>
        <v>-25640</v>
      </c>
      <c r="R17" s="1001"/>
      <c r="S17" s="1009"/>
      <c r="T17" s="1001" t="s">
        <v>514</v>
      </c>
      <c r="U17" s="1002">
        <f>U16-Q5-Q7</f>
        <v>-11054</v>
      </c>
      <c r="V17" s="642">
        <f t="shared" si="4"/>
        <v>6</v>
      </c>
    </row>
    <row r="18" spans="1:22" x14ac:dyDescent="0.25">
      <c r="A18" s="1080">
        <v>44759</v>
      </c>
      <c r="B18" s="657" t="str">
        <f t="shared" si="0"/>
        <v>Ne</v>
      </c>
      <c r="C18" s="724">
        <f t="shared" si="1"/>
        <v>0</v>
      </c>
      <c r="D18" s="1079">
        <f t="shared" si="2"/>
        <v>0</v>
      </c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1083">
        <v>1060</v>
      </c>
      <c r="P18" s="1088">
        <v>1060</v>
      </c>
      <c r="Q18" s="1001"/>
      <c r="R18" s="1001"/>
      <c r="S18" s="1008"/>
      <c r="T18" s="1001"/>
      <c r="U18" s="1001"/>
      <c r="V18" s="642">
        <f t="shared" si="4"/>
        <v>7</v>
      </c>
    </row>
    <row r="19" spans="1:22" x14ac:dyDescent="0.25">
      <c r="A19" s="1080">
        <v>44760</v>
      </c>
      <c r="B19" s="657" t="str">
        <f t="shared" si="0"/>
        <v>Po</v>
      </c>
      <c r="C19" s="724">
        <f t="shared" si="1"/>
        <v>0.45833333333333326</v>
      </c>
      <c r="D19" s="1079">
        <f t="shared" si="2"/>
        <v>0</v>
      </c>
      <c r="E19" s="724">
        <v>0.29166666666666669</v>
      </c>
      <c r="F19" s="724">
        <f>TIME(1,0,0)</f>
        <v>4.1666666666666664E-2</v>
      </c>
      <c r="G19" s="724">
        <v>0.79166666666666663</v>
      </c>
      <c r="H19" s="654"/>
      <c r="I19" s="657"/>
      <c r="J19" s="654"/>
      <c r="K19" s="657"/>
      <c r="L19" s="654"/>
      <c r="M19" s="657"/>
      <c r="N19" s="714"/>
      <c r="O19" s="1083" t="s">
        <v>33</v>
      </c>
      <c r="P19" s="1088" t="s">
        <v>33</v>
      </c>
      <c r="Q19" s="1001"/>
      <c r="R19" s="1001"/>
      <c r="S19" s="1008"/>
      <c r="T19" s="1001"/>
      <c r="U19" s="1001"/>
      <c r="V19" s="642">
        <f t="shared" si="4"/>
        <v>1</v>
      </c>
    </row>
    <row r="20" spans="1:22" x14ac:dyDescent="0.25">
      <c r="A20" s="1080">
        <v>44761</v>
      </c>
      <c r="B20" s="657" t="str">
        <f t="shared" si="0"/>
        <v>Út</v>
      </c>
      <c r="C20" s="724">
        <f t="shared" si="1"/>
        <v>0.45833333333333326</v>
      </c>
      <c r="D20" s="1079">
        <f t="shared" si="2"/>
        <v>0</v>
      </c>
      <c r="E20" s="724">
        <v>0.29166666666666669</v>
      </c>
      <c r="F20" s="724">
        <f>TIME(1,0,0)</f>
        <v>4.1666666666666664E-2</v>
      </c>
      <c r="G20" s="724">
        <v>0.79166666666666663</v>
      </c>
      <c r="H20" s="654"/>
      <c r="I20" s="657"/>
      <c r="J20" s="654"/>
      <c r="K20" s="657"/>
      <c r="L20" s="654"/>
      <c r="M20" s="657"/>
      <c r="N20" s="714"/>
      <c r="O20" s="1083">
        <v>16331</v>
      </c>
      <c r="P20" s="1088">
        <v>16331</v>
      </c>
      <c r="Q20" s="1001"/>
      <c r="R20" s="1001"/>
      <c r="S20" s="1008"/>
      <c r="T20" s="1001"/>
      <c r="U20" s="1001"/>
      <c r="V20" s="642">
        <f t="shared" si="4"/>
        <v>2</v>
      </c>
    </row>
    <row r="21" spans="1:22" x14ac:dyDescent="0.25">
      <c r="A21" s="1080">
        <v>44762</v>
      </c>
      <c r="B21" s="657" t="str">
        <f t="shared" si="0"/>
        <v>St</v>
      </c>
      <c r="C21" s="724">
        <f t="shared" si="1"/>
        <v>0.45833333333333326</v>
      </c>
      <c r="D21" s="1079">
        <f t="shared" si="2"/>
        <v>0</v>
      </c>
      <c r="E21" s="724">
        <v>0.29166666666666669</v>
      </c>
      <c r="F21" s="724">
        <f>TIME(1,0,0)</f>
        <v>4.1666666666666664E-2</v>
      </c>
      <c r="G21" s="724">
        <v>0.79166666666666663</v>
      </c>
      <c r="H21" s="654"/>
      <c r="I21" s="657"/>
      <c r="J21" s="654"/>
      <c r="K21" s="657"/>
      <c r="L21" s="654"/>
      <c r="M21" s="657"/>
      <c r="N21" s="714"/>
      <c r="O21" s="1083" t="s">
        <v>34</v>
      </c>
      <c r="P21" s="1088" t="s">
        <v>34</v>
      </c>
      <c r="Q21" s="1001"/>
      <c r="R21" s="1001"/>
      <c r="S21" s="1008"/>
      <c r="T21" s="1001"/>
      <c r="U21" s="1001"/>
      <c r="V21" s="642">
        <f t="shared" si="4"/>
        <v>3</v>
      </c>
    </row>
    <row r="22" spans="1:22" x14ac:dyDescent="0.25">
      <c r="A22" s="1080">
        <v>44763</v>
      </c>
      <c r="B22" s="657" t="str">
        <f t="shared" si="0"/>
        <v>Čt</v>
      </c>
      <c r="C22" s="724">
        <f t="shared" si="1"/>
        <v>0.45833333333333326</v>
      </c>
      <c r="D22" s="1079">
        <f t="shared" si="2"/>
        <v>0</v>
      </c>
      <c r="E22" s="724">
        <v>0.29166666666666669</v>
      </c>
      <c r="F22" s="724">
        <f>TIME(1,0,0)</f>
        <v>4.1666666666666664E-2</v>
      </c>
      <c r="G22" s="724">
        <v>0.79166666666666663</v>
      </c>
      <c r="H22" s="654"/>
      <c r="I22" s="657"/>
      <c r="J22" s="654"/>
      <c r="K22" s="657"/>
      <c r="L22" s="654"/>
      <c r="M22" s="657"/>
      <c r="N22" s="714"/>
      <c r="O22" s="1083">
        <v>3187</v>
      </c>
      <c r="P22" s="1088">
        <v>3187</v>
      </c>
      <c r="Q22" s="1001"/>
      <c r="R22" s="1017"/>
      <c r="S22" s="718"/>
      <c r="T22" s="1001"/>
      <c r="U22" s="1001"/>
      <c r="V22" s="642">
        <f t="shared" si="4"/>
        <v>4</v>
      </c>
    </row>
    <row r="23" spans="1:22" x14ac:dyDescent="0.25">
      <c r="A23" s="1080">
        <v>44764</v>
      </c>
      <c r="B23" s="657" t="str">
        <f t="shared" si="0"/>
        <v>Pá</v>
      </c>
      <c r="C23" s="724">
        <f t="shared" si="1"/>
        <v>0.45833333333333326</v>
      </c>
      <c r="D23" s="1079">
        <f t="shared" si="2"/>
        <v>0</v>
      </c>
      <c r="E23" s="724">
        <v>0.29166666666666669</v>
      </c>
      <c r="F23" s="724">
        <f>TIME(1,0,0)</f>
        <v>4.1666666666666664E-2</v>
      </c>
      <c r="G23" s="724">
        <v>0.79166666666666663</v>
      </c>
      <c r="H23" s="654"/>
      <c r="I23" s="657"/>
      <c r="J23" s="654"/>
      <c r="K23" s="657"/>
      <c r="L23" s="654"/>
      <c r="M23" s="657"/>
      <c r="N23" s="714"/>
      <c r="O23" s="1085" t="s">
        <v>364</v>
      </c>
      <c r="P23" s="1090" t="s">
        <v>363</v>
      </c>
      <c r="Q23" s="1015">
        <f>Q17-P24</f>
        <v>-43381</v>
      </c>
      <c r="R23" s="1018"/>
      <c r="S23" s="1015">
        <f>U17-O26</f>
        <v>-43381</v>
      </c>
      <c r="T23" s="1001"/>
      <c r="U23" s="1001"/>
      <c r="V23" s="642">
        <f t="shared" si="4"/>
        <v>5</v>
      </c>
    </row>
    <row r="24" spans="1:22" x14ac:dyDescent="0.25">
      <c r="A24" s="1080">
        <v>44765</v>
      </c>
      <c r="B24" s="657" t="str">
        <f t="shared" si="0"/>
        <v>So</v>
      </c>
      <c r="C24" s="724">
        <f t="shared" si="1"/>
        <v>0.33333333333333337</v>
      </c>
      <c r="D24" s="1079">
        <f t="shared" si="2"/>
        <v>0</v>
      </c>
      <c r="E24" s="724">
        <v>0.29166666666666669</v>
      </c>
      <c r="F24" s="724">
        <f>TIME(0,30,0)</f>
        <v>2.0833333333333332E-2</v>
      </c>
      <c r="G24" s="724">
        <v>0.64583333333333337</v>
      </c>
      <c r="H24" s="654"/>
      <c r="I24" s="657"/>
      <c r="J24" s="654"/>
      <c r="K24" s="657"/>
      <c r="L24" s="654"/>
      <c r="M24" s="657"/>
      <c r="N24" s="714"/>
      <c r="O24" s="1086">
        <f>P12-Q5</f>
        <v>-13381</v>
      </c>
      <c r="P24" s="1088">
        <f>O26-O28</f>
        <v>17741</v>
      </c>
      <c r="Q24" s="1020"/>
      <c r="R24" s="1019"/>
      <c r="S24" s="1006"/>
      <c r="T24" s="1006"/>
      <c r="U24" s="1006"/>
      <c r="V24" s="642">
        <f t="shared" si="4"/>
        <v>6</v>
      </c>
    </row>
    <row r="25" spans="1:22" x14ac:dyDescent="0.25">
      <c r="A25" s="1080">
        <v>44766</v>
      </c>
      <c r="B25" s="657" t="str">
        <f t="shared" si="0"/>
        <v>Ne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654" t="s">
        <v>372</v>
      </c>
      <c r="P25" s="1026"/>
      <c r="Q25" s="718"/>
      <c r="R25" s="718"/>
      <c r="S25" s="718"/>
      <c r="T25" s="718"/>
      <c r="U25" s="718"/>
      <c r="V25" s="642">
        <f t="shared" si="4"/>
        <v>7</v>
      </c>
    </row>
    <row r="26" spans="1:22" x14ac:dyDescent="0.25">
      <c r="A26" s="1080">
        <v>44767</v>
      </c>
      <c r="B26" s="657" t="str">
        <f t="shared" si="0"/>
        <v>Po</v>
      </c>
      <c r="C26" s="724">
        <f t="shared" si="1"/>
        <v>0.45833333333333326</v>
      </c>
      <c r="D26" s="1079">
        <f t="shared" si="2"/>
        <v>0</v>
      </c>
      <c r="E26" s="724">
        <v>0.29166666666666669</v>
      </c>
      <c r="F26" s="724">
        <f>TIME(1,0,0)</f>
        <v>4.1666666666666664E-2</v>
      </c>
      <c r="G26" s="724">
        <v>0.79166666666666663</v>
      </c>
      <c r="H26" s="654"/>
      <c r="I26" s="657"/>
      <c r="J26" s="654"/>
      <c r="K26" s="657"/>
      <c r="L26" s="654"/>
      <c r="M26" s="657"/>
      <c r="N26" s="714"/>
      <c r="O26" s="1083">
        <v>32327</v>
      </c>
      <c r="P26" s="1088"/>
      <c r="Q26" s="718"/>
      <c r="R26" s="718"/>
      <c r="S26" s="718"/>
      <c r="T26" s="718"/>
      <c r="U26" s="718"/>
      <c r="V26" s="642">
        <f t="shared" si="4"/>
        <v>1</v>
      </c>
    </row>
    <row r="27" spans="1:22" x14ac:dyDescent="0.25">
      <c r="A27" s="1080">
        <v>44768</v>
      </c>
      <c r="B27" s="657" t="str">
        <f t="shared" si="0"/>
        <v>Út</v>
      </c>
      <c r="C27" s="724">
        <f t="shared" si="1"/>
        <v>0.45833333333333326</v>
      </c>
      <c r="D27" s="1079">
        <f t="shared" si="2"/>
        <v>0</v>
      </c>
      <c r="E27" s="724">
        <v>0.29166666666666669</v>
      </c>
      <c r="F27" s="724">
        <f>TIME(1,0,0)</f>
        <v>4.1666666666666664E-2</v>
      </c>
      <c r="G27" s="724">
        <v>0.79166666666666663</v>
      </c>
      <c r="H27" s="654"/>
      <c r="I27" s="657"/>
      <c r="J27" s="654"/>
      <c r="K27" s="657"/>
      <c r="L27" s="654"/>
      <c r="M27" s="657"/>
      <c r="N27" s="714"/>
      <c r="O27" s="654" t="s">
        <v>373</v>
      </c>
      <c r="P27" s="1026"/>
      <c r="Q27" s="718"/>
      <c r="R27" s="718"/>
      <c r="S27" s="718"/>
      <c r="T27" s="718"/>
      <c r="U27" s="718"/>
      <c r="V27" s="642">
        <f t="shared" si="4"/>
        <v>2</v>
      </c>
    </row>
    <row r="28" spans="1:22" x14ac:dyDescent="0.25">
      <c r="A28" s="1080">
        <v>44769</v>
      </c>
      <c r="B28" s="657" t="str">
        <f t="shared" si="0"/>
        <v>St</v>
      </c>
      <c r="C28" s="724">
        <f t="shared" si="1"/>
        <v>0.45833333333333326</v>
      </c>
      <c r="D28" s="1079">
        <f t="shared" si="2"/>
        <v>0</v>
      </c>
      <c r="E28" s="724">
        <v>0.29166666666666669</v>
      </c>
      <c r="F28" s="724">
        <f>TIME(1,0,0)</f>
        <v>4.1666666666666664E-2</v>
      </c>
      <c r="G28" s="724">
        <v>0.79166666666666663</v>
      </c>
      <c r="H28" s="654"/>
      <c r="I28" s="657"/>
      <c r="J28" s="654"/>
      <c r="K28" s="657"/>
      <c r="L28" s="654"/>
      <c r="M28" s="657"/>
      <c r="N28" s="714"/>
      <c r="O28" s="1095">
        <f>'06hod22'!O26</f>
        <v>14586</v>
      </c>
      <c r="P28" s="1026"/>
      <c r="Q28" s="718"/>
      <c r="R28" s="718"/>
      <c r="S28" s="718"/>
      <c r="T28" s="718"/>
      <c r="U28" s="718"/>
      <c r="V28" s="642">
        <f t="shared" si="4"/>
        <v>3</v>
      </c>
    </row>
    <row r="29" spans="1:22" x14ac:dyDescent="0.25">
      <c r="A29" s="1080">
        <v>44770</v>
      </c>
      <c r="B29" s="657" t="str">
        <f t="shared" si="0"/>
        <v>Čt</v>
      </c>
      <c r="C29" s="724">
        <f t="shared" si="1"/>
        <v>0.45833333333333326</v>
      </c>
      <c r="D29" s="1079">
        <f t="shared" si="2"/>
        <v>0</v>
      </c>
      <c r="E29" s="724">
        <v>0.29166666666666669</v>
      </c>
      <c r="F29" s="724">
        <f>TIME(1,0,0)</f>
        <v>4.1666666666666664E-2</v>
      </c>
      <c r="G29" s="724">
        <v>0.79166666666666663</v>
      </c>
      <c r="H29" s="654"/>
      <c r="I29" s="657"/>
      <c r="J29" s="654"/>
      <c r="K29" s="657"/>
      <c r="L29" s="654"/>
      <c r="M29" s="657"/>
      <c r="N29" s="714"/>
      <c r="O29" s="1083"/>
      <c r="P29" s="1083"/>
      <c r="Q29" s="718"/>
      <c r="R29" s="718"/>
      <c r="S29" s="718"/>
      <c r="T29" s="718"/>
      <c r="U29" s="718"/>
      <c r="V29" s="642">
        <f t="shared" si="4"/>
        <v>4</v>
      </c>
    </row>
    <row r="30" spans="1:22" x14ac:dyDescent="0.25">
      <c r="A30" s="1080">
        <v>44771</v>
      </c>
      <c r="B30" s="657" t="str">
        <f t="shared" si="0"/>
        <v>Pá</v>
      </c>
      <c r="C30" s="724">
        <f t="shared" si="1"/>
        <v>0.45833333333333326</v>
      </c>
      <c r="D30" s="1079">
        <f t="shared" si="2"/>
        <v>0</v>
      </c>
      <c r="E30" s="724">
        <v>0.29166666666666669</v>
      </c>
      <c r="F30" s="724">
        <f>TIME(1,0,0)</f>
        <v>4.1666666666666664E-2</v>
      </c>
      <c r="G30" s="724">
        <v>0.79166666666666663</v>
      </c>
      <c r="H30" s="654"/>
      <c r="I30" s="657"/>
      <c r="J30" s="654"/>
      <c r="K30" s="657"/>
      <c r="L30" s="654"/>
      <c r="M30" s="657"/>
      <c r="N30" s="714"/>
      <c r="O30" s="918"/>
      <c r="P30" s="1091"/>
      <c r="Q30" s="718"/>
      <c r="R30" s="718"/>
      <c r="S30" s="718"/>
      <c r="T30" s="718"/>
      <c r="U30" s="718"/>
      <c r="V30" s="642">
        <f t="shared" si="4"/>
        <v>5</v>
      </c>
    </row>
    <row r="31" spans="1:22" x14ac:dyDescent="0.25">
      <c r="A31" s="1080">
        <v>44772</v>
      </c>
      <c r="B31" s="657" t="str">
        <f t="shared" si="0"/>
        <v>So</v>
      </c>
      <c r="C31" s="724">
        <f t="shared" si="1"/>
        <v>0.33333333333333337</v>
      </c>
      <c r="D31" s="1079">
        <f t="shared" si="2"/>
        <v>0</v>
      </c>
      <c r="E31" s="724">
        <v>0.29166666666666669</v>
      </c>
      <c r="F31" s="724">
        <f>TIME(0,30,0)</f>
        <v>2.0833333333333332E-2</v>
      </c>
      <c r="G31" s="724">
        <v>0.64583333333333337</v>
      </c>
      <c r="H31" s="654"/>
      <c r="I31" s="657"/>
      <c r="J31" s="654"/>
      <c r="K31" s="657"/>
      <c r="L31" s="654"/>
      <c r="M31" s="657"/>
      <c r="N31" s="714"/>
      <c r="O31" s="654"/>
      <c r="P31" s="1026"/>
      <c r="Q31" s="718"/>
      <c r="R31" s="718"/>
      <c r="S31" s="718"/>
      <c r="T31" s="718"/>
      <c r="U31" s="718"/>
      <c r="V31" s="642">
        <f t="shared" si="4"/>
        <v>6</v>
      </c>
    </row>
    <row r="32" spans="1:22" x14ac:dyDescent="0.25">
      <c r="A32" s="1080">
        <v>44773</v>
      </c>
      <c r="B32" s="657" t="str">
        <f t="shared" si="0"/>
        <v>Ne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718"/>
      <c r="R32" s="718"/>
      <c r="S32" s="718"/>
      <c r="T32" s="718"/>
      <c r="U32" s="718"/>
      <c r="V32" s="642">
        <f t="shared" si="4"/>
        <v>7</v>
      </c>
    </row>
    <row r="33" spans="1:22" x14ac:dyDescent="0.25">
      <c r="A33" s="1080">
        <v>44774</v>
      </c>
      <c r="B33" s="657" t="str">
        <f t="shared" si="0"/>
        <v>Po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718"/>
      <c r="R33" s="718"/>
      <c r="S33" s="718"/>
      <c r="T33" s="718"/>
      <c r="U33" s="718"/>
      <c r="V33" s="642">
        <f>WEEKDAY(A33,2)</f>
        <v>1</v>
      </c>
    </row>
    <row r="34" spans="1:22" x14ac:dyDescent="0.25">
      <c r="A34" s="1080">
        <v>44775</v>
      </c>
      <c r="B34" s="657" t="str">
        <f t="shared" si="0"/>
        <v>Út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718"/>
      <c r="R34" s="718"/>
      <c r="S34" s="718"/>
      <c r="T34" s="718"/>
      <c r="U34" s="718"/>
      <c r="V34" s="642">
        <f t="shared" ref="V34:V35" si="5">WEEKDAY(A34,2)</f>
        <v>2</v>
      </c>
    </row>
    <row r="35" spans="1:22" ht="15.75" thickBot="1" x14ac:dyDescent="0.3">
      <c r="A35" s="1080">
        <v>44776</v>
      </c>
      <c r="B35" s="658" t="str">
        <f t="shared" si="0"/>
        <v>St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8"/>
      <c r="L35" s="654"/>
      <c r="M35" s="658"/>
      <c r="N35" s="1087"/>
      <c r="O35" s="655"/>
      <c r="P35" s="1027"/>
      <c r="Q35" s="718"/>
      <c r="R35" s="718"/>
      <c r="S35" s="718"/>
      <c r="T35" s="718"/>
      <c r="U35" s="718"/>
      <c r="V35" s="642">
        <f t="shared" si="5"/>
        <v>3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6.9999999999999964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C000"/>
  </sheetPr>
  <dimension ref="A1:R100"/>
  <sheetViews>
    <sheetView workbookViewId="0"/>
  </sheetViews>
  <sheetFormatPr defaultColWidth="14.42578125" defaultRowHeight="15" customHeight="1" x14ac:dyDescent="0.25"/>
  <cols>
    <col min="1" max="1" width="13.140625" customWidth="1"/>
    <col min="2" max="2" width="8.42578125" customWidth="1"/>
    <col min="3" max="3" width="14.140625" customWidth="1"/>
    <col min="4" max="4" width="14.28515625" customWidth="1"/>
    <col min="5" max="5" width="12.7109375" customWidth="1"/>
    <col min="6" max="6" width="15.5703125" customWidth="1"/>
    <col min="7" max="7" width="12.28515625" customWidth="1"/>
    <col min="8" max="8" width="17.7109375" customWidth="1"/>
    <col min="9" max="9" width="15.42578125" customWidth="1"/>
    <col min="10" max="10" width="13.5703125" customWidth="1"/>
    <col min="11" max="11" width="21.140625" customWidth="1"/>
    <col min="12" max="12" width="24.85546875" customWidth="1"/>
    <col min="13" max="13" width="21.140625" customWidth="1"/>
    <col min="14" max="14" width="21.7109375" customWidth="1"/>
    <col min="15" max="16" width="12.5703125" customWidth="1"/>
  </cols>
  <sheetData>
    <row r="1" spans="1:17" ht="18.75" x14ac:dyDescent="0.25">
      <c r="A1" s="1" t="s">
        <v>0</v>
      </c>
      <c r="B1" s="1" t="s">
        <v>1</v>
      </c>
      <c r="C1" s="1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5</v>
      </c>
      <c r="J1" s="362" t="s">
        <v>8</v>
      </c>
      <c r="K1" s="4" t="s">
        <v>9</v>
      </c>
      <c r="L1" s="5" t="s">
        <v>10</v>
      </c>
      <c r="M1" s="6" t="s">
        <v>11</v>
      </c>
      <c r="N1" s="7" t="s">
        <v>12</v>
      </c>
      <c r="O1" s="7" t="s">
        <v>13</v>
      </c>
      <c r="P1" s="3" t="s">
        <v>14</v>
      </c>
    </row>
    <row r="2" spans="1:17" x14ac:dyDescent="0.25">
      <c r="A2" s="214">
        <v>43891</v>
      </c>
      <c r="B2" s="215" t="str">
        <f t="shared" ref="B2:B32" si="0">CHOOSE(WEEKDAY(Q2),"Po","Út","St","Čt","Pá","So","Ne")</f>
        <v>Ne</v>
      </c>
      <c r="C2" s="216"/>
      <c r="D2" s="217" t="s">
        <v>21</v>
      </c>
      <c r="E2" s="363" t="s">
        <v>21</v>
      </c>
      <c r="F2" s="363"/>
      <c r="G2" s="220"/>
      <c r="H2" s="218"/>
      <c r="I2" s="221" t="s">
        <v>15</v>
      </c>
      <c r="J2" s="222" t="s">
        <v>16</v>
      </c>
      <c r="K2" s="223">
        <f>K4+K6</f>
        <v>198.5</v>
      </c>
      <c r="L2" s="8">
        <v>3008</v>
      </c>
      <c r="M2" s="9" t="s">
        <v>17</v>
      </c>
      <c r="N2" s="10" t="s">
        <v>106</v>
      </c>
      <c r="O2" s="11">
        <v>43907</v>
      </c>
      <c r="P2" s="12">
        <f>K6*20</f>
        <v>2570</v>
      </c>
      <c r="Q2" s="13">
        <f t="shared" ref="Q2:Q32" si="1">WEEKDAY(A2,2)</f>
        <v>7</v>
      </c>
    </row>
    <row r="3" spans="1:17" x14ac:dyDescent="0.25">
      <c r="A3" s="224">
        <v>43892</v>
      </c>
      <c r="B3" s="225" t="str">
        <f t="shared" si="0"/>
        <v>Po</v>
      </c>
      <c r="C3" s="226">
        <v>10.5</v>
      </c>
      <c r="D3" s="227" t="s">
        <v>18</v>
      </c>
      <c r="E3" s="228" t="s">
        <v>76</v>
      </c>
      <c r="F3" s="229" t="s">
        <v>77</v>
      </c>
      <c r="G3" s="230" t="s">
        <v>78</v>
      </c>
      <c r="H3" s="228" t="s">
        <v>28</v>
      </c>
      <c r="I3" s="231" t="s">
        <v>15</v>
      </c>
      <c r="J3" s="232" t="s">
        <v>16</v>
      </c>
      <c r="K3" s="15" t="s">
        <v>19</v>
      </c>
      <c r="L3" s="17">
        <v>15000</v>
      </c>
      <c r="M3" s="18" t="s">
        <v>17</v>
      </c>
      <c r="N3" s="19" t="s">
        <v>107</v>
      </c>
      <c r="O3" s="20">
        <v>43910</v>
      </c>
      <c r="Q3" s="13">
        <f t="shared" si="1"/>
        <v>1</v>
      </c>
    </row>
    <row r="4" spans="1:17" x14ac:dyDescent="0.25">
      <c r="A4" s="233">
        <v>43893</v>
      </c>
      <c r="B4" s="234" t="str">
        <f t="shared" si="0"/>
        <v>Út</v>
      </c>
      <c r="C4" s="235">
        <v>10.5</v>
      </c>
      <c r="D4" s="236" t="s">
        <v>18</v>
      </c>
      <c r="E4" s="237" t="s">
        <v>76</v>
      </c>
      <c r="F4" s="238" t="s">
        <v>77</v>
      </c>
      <c r="G4" s="239" t="s">
        <v>78</v>
      </c>
      <c r="H4" s="237" t="s">
        <v>28</v>
      </c>
      <c r="I4" s="240" t="s">
        <v>15</v>
      </c>
      <c r="J4" s="241" t="s">
        <v>16</v>
      </c>
      <c r="K4" s="242">
        <f>SUM(C2:C18)</f>
        <v>70</v>
      </c>
      <c r="L4" s="17"/>
      <c r="M4" s="18" t="s">
        <v>17</v>
      </c>
      <c r="N4" s="19" t="s">
        <v>107</v>
      </c>
      <c r="O4" s="20"/>
      <c r="Q4" s="13">
        <f t="shared" si="1"/>
        <v>2</v>
      </c>
    </row>
    <row r="5" spans="1:17" x14ac:dyDescent="0.25">
      <c r="A5" s="224">
        <v>43894</v>
      </c>
      <c r="B5" s="225" t="str">
        <f t="shared" si="0"/>
        <v>St</v>
      </c>
      <c r="C5" s="243">
        <v>10.5</v>
      </c>
      <c r="D5" s="227" t="s">
        <v>18</v>
      </c>
      <c r="E5" s="228" t="s">
        <v>76</v>
      </c>
      <c r="F5" s="229" t="s">
        <v>77</v>
      </c>
      <c r="G5" s="230" t="s">
        <v>78</v>
      </c>
      <c r="H5" s="228" t="s">
        <v>28</v>
      </c>
      <c r="I5" s="244" t="s">
        <v>15</v>
      </c>
      <c r="J5" s="232" t="s">
        <v>16</v>
      </c>
      <c r="K5" s="15" t="s">
        <v>14</v>
      </c>
      <c r="L5" s="23">
        <v>20319</v>
      </c>
      <c r="M5" s="24" t="s">
        <v>17</v>
      </c>
      <c r="N5" s="25" t="s">
        <v>108</v>
      </c>
      <c r="O5" s="26">
        <v>43937</v>
      </c>
      <c r="P5" s="30"/>
      <c r="Q5" s="13">
        <f t="shared" si="1"/>
        <v>3</v>
      </c>
    </row>
    <row r="6" spans="1:17" x14ac:dyDescent="0.25">
      <c r="A6" s="233">
        <v>43895</v>
      </c>
      <c r="B6" s="234" t="str">
        <f t="shared" si="0"/>
        <v>Čt</v>
      </c>
      <c r="C6" s="245">
        <v>10.5</v>
      </c>
      <c r="D6" s="236" t="s">
        <v>18</v>
      </c>
      <c r="E6" s="237" t="s">
        <v>76</v>
      </c>
      <c r="F6" s="238" t="s">
        <v>77</v>
      </c>
      <c r="G6" s="239" t="s">
        <v>78</v>
      </c>
      <c r="H6" s="237" t="s">
        <v>28</v>
      </c>
      <c r="I6" s="240" t="s">
        <v>15</v>
      </c>
      <c r="J6" s="241" t="s">
        <v>16</v>
      </c>
      <c r="K6" s="21">
        <f>SUM(C19:C32)</f>
        <v>128.5</v>
      </c>
      <c r="L6" s="17" t="s">
        <v>107</v>
      </c>
      <c r="M6" s="27"/>
      <c r="N6" s="28"/>
      <c r="O6" s="29"/>
      <c r="P6" s="30"/>
      <c r="Q6" s="13">
        <f t="shared" si="1"/>
        <v>4</v>
      </c>
    </row>
    <row r="7" spans="1:17" x14ac:dyDescent="0.25">
      <c r="A7" s="364">
        <v>43896</v>
      </c>
      <c r="B7" s="225" t="str">
        <f t="shared" si="0"/>
        <v>Pá</v>
      </c>
      <c r="C7" s="243">
        <v>12</v>
      </c>
      <c r="D7" s="227" t="s">
        <v>79</v>
      </c>
      <c r="E7" s="228" t="s">
        <v>76</v>
      </c>
      <c r="F7" s="246" t="s">
        <v>77</v>
      </c>
      <c r="G7" s="230" t="s">
        <v>78</v>
      </c>
      <c r="H7" s="228" t="s">
        <v>28</v>
      </c>
      <c r="I7" s="231" t="s">
        <v>15</v>
      </c>
      <c r="J7" s="232" t="s">
        <v>16</v>
      </c>
      <c r="K7" s="14" t="s">
        <v>20</v>
      </c>
      <c r="L7" s="31">
        <f>SUM(L3)</f>
        <v>15000</v>
      </c>
      <c r="M7" s="30"/>
      <c r="N7" s="30"/>
      <c r="O7" s="32"/>
      <c r="P7" s="30"/>
      <c r="Q7" s="13">
        <f t="shared" si="1"/>
        <v>5</v>
      </c>
    </row>
    <row r="8" spans="1:17" x14ac:dyDescent="0.25">
      <c r="A8" s="233">
        <v>43897</v>
      </c>
      <c r="B8" s="234" t="str">
        <f t="shared" si="0"/>
        <v>So</v>
      </c>
      <c r="C8" s="247">
        <v>0</v>
      </c>
      <c r="D8" s="248"/>
      <c r="E8" s="237"/>
      <c r="F8" s="249" t="s">
        <v>21</v>
      </c>
      <c r="G8" s="239"/>
      <c r="H8" s="237"/>
      <c r="I8" s="240" t="s">
        <v>15</v>
      </c>
      <c r="J8" s="241" t="s">
        <v>16</v>
      </c>
      <c r="K8" s="21" t="s">
        <v>22</v>
      </c>
      <c r="L8" s="33" t="s">
        <v>109</v>
      </c>
      <c r="M8" s="30"/>
      <c r="N8" s="30"/>
      <c r="O8" s="32"/>
      <c r="P8" s="30"/>
      <c r="Q8" s="13">
        <f t="shared" si="1"/>
        <v>6</v>
      </c>
    </row>
    <row r="9" spans="1:17" x14ac:dyDescent="0.25">
      <c r="A9" s="224">
        <v>43898</v>
      </c>
      <c r="B9" s="225" t="str">
        <f t="shared" si="0"/>
        <v>Ne</v>
      </c>
      <c r="C9" s="243">
        <v>0</v>
      </c>
      <c r="D9" s="250"/>
      <c r="E9" s="228"/>
      <c r="F9" s="363" t="s">
        <v>21</v>
      </c>
      <c r="G9" s="230"/>
      <c r="H9" s="228"/>
      <c r="I9" s="231" t="s">
        <v>15</v>
      </c>
      <c r="J9" s="232" t="s">
        <v>16</v>
      </c>
      <c r="K9" s="15" t="s">
        <v>23</v>
      </c>
      <c r="L9" s="34">
        <f>SUM(L2:L4)</f>
        <v>18008</v>
      </c>
      <c r="M9" s="30"/>
      <c r="N9" s="30"/>
      <c r="O9" s="32"/>
      <c r="P9" s="30"/>
      <c r="Q9" s="13">
        <f t="shared" si="1"/>
        <v>7</v>
      </c>
    </row>
    <row r="10" spans="1:17" x14ac:dyDescent="0.25">
      <c r="A10" s="233">
        <v>43899</v>
      </c>
      <c r="B10" s="234" t="str">
        <f t="shared" si="0"/>
        <v>Po</v>
      </c>
      <c r="C10" s="245">
        <v>0</v>
      </c>
      <c r="D10" s="248"/>
      <c r="E10" s="237"/>
      <c r="F10" s="238" t="s">
        <v>21</v>
      </c>
      <c r="G10" s="239"/>
      <c r="H10" s="237"/>
      <c r="I10" s="240" t="s">
        <v>15</v>
      </c>
      <c r="J10" s="241" t="s">
        <v>16</v>
      </c>
      <c r="K10" s="251">
        <f>SUM(K2*350)+P2</f>
        <v>72045</v>
      </c>
      <c r="L10" s="35"/>
      <c r="M10" s="30"/>
      <c r="N10" s="30"/>
      <c r="O10" s="32"/>
      <c r="P10" s="30"/>
      <c r="Q10" s="13">
        <f t="shared" si="1"/>
        <v>1</v>
      </c>
    </row>
    <row r="11" spans="1:17" x14ac:dyDescent="0.25">
      <c r="A11" s="224">
        <v>43900</v>
      </c>
      <c r="B11" s="225" t="str">
        <f t="shared" si="0"/>
        <v>Út</v>
      </c>
      <c r="C11" s="243">
        <v>0</v>
      </c>
      <c r="D11" s="252"/>
      <c r="E11" s="228"/>
      <c r="F11" s="229" t="s">
        <v>21</v>
      </c>
      <c r="G11" s="230"/>
      <c r="H11" s="228"/>
      <c r="I11" s="231" t="s">
        <v>15</v>
      </c>
      <c r="J11" s="232" t="s">
        <v>16</v>
      </c>
      <c r="K11" s="15" t="s">
        <v>24</v>
      </c>
      <c r="L11" s="36"/>
      <c r="M11" s="30"/>
      <c r="N11" s="30"/>
      <c r="O11" s="30"/>
      <c r="P11" s="30"/>
      <c r="Q11" s="13">
        <f t="shared" si="1"/>
        <v>2</v>
      </c>
    </row>
    <row r="12" spans="1:17" x14ac:dyDescent="0.25">
      <c r="A12" s="233">
        <v>43901</v>
      </c>
      <c r="B12" s="234" t="str">
        <f t="shared" si="0"/>
        <v>St</v>
      </c>
      <c r="C12" s="245">
        <v>0</v>
      </c>
      <c r="D12" s="253"/>
      <c r="E12" s="237"/>
      <c r="F12" s="238" t="s">
        <v>21</v>
      </c>
      <c r="G12" s="239"/>
      <c r="H12" s="237"/>
      <c r="I12" s="240" t="s">
        <v>15</v>
      </c>
      <c r="J12" s="241" t="s">
        <v>16</v>
      </c>
      <c r="K12" s="254">
        <f>(K10+K20+K18-K22)-K14</f>
        <v>59011.694999999992</v>
      </c>
      <c r="L12" s="36"/>
      <c r="M12" s="30"/>
      <c r="N12" s="30"/>
      <c r="O12" s="30"/>
      <c r="P12" s="30"/>
      <c r="Q12" s="13">
        <f t="shared" si="1"/>
        <v>3</v>
      </c>
    </row>
    <row r="13" spans="1:17" x14ac:dyDescent="0.25">
      <c r="A13" s="224">
        <v>43902</v>
      </c>
      <c r="B13" s="225" t="str">
        <f t="shared" si="0"/>
        <v>Čt</v>
      </c>
      <c r="C13" s="243">
        <v>0</v>
      </c>
      <c r="D13" s="255"/>
      <c r="E13" s="228"/>
      <c r="F13" s="229" t="s">
        <v>21</v>
      </c>
      <c r="G13" s="230"/>
      <c r="H13" s="228"/>
      <c r="I13" s="231" t="s">
        <v>15</v>
      </c>
      <c r="J13" s="232" t="s">
        <v>16</v>
      </c>
      <c r="K13" s="15" t="s">
        <v>26</v>
      </c>
      <c r="L13" s="37"/>
      <c r="M13" s="30"/>
      <c r="N13" s="30"/>
      <c r="O13" s="30"/>
      <c r="P13" s="30"/>
      <c r="Q13" s="13">
        <f t="shared" si="1"/>
        <v>4</v>
      </c>
    </row>
    <row r="14" spans="1:17" x14ac:dyDescent="0.25">
      <c r="A14" s="233">
        <v>43903</v>
      </c>
      <c r="B14" s="234" t="str">
        <f t="shared" si="0"/>
        <v>Pá</v>
      </c>
      <c r="C14" s="235">
        <v>0</v>
      </c>
      <c r="D14" s="253" t="s">
        <v>80</v>
      </c>
      <c r="E14" s="237"/>
      <c r="F14" s="238"/>
      <c r="G14" s="239"/>
      <c r="H14" s="256"/>
      <c r="I14" s="240" t="s">
        <v>15</v>
      </c>
      <c r="J14" s="241" t="s">
        <v>16</v>
      </c>
      <c r="K14" s="254">
        <f>(K16*25.5)</f>
        <v>13033.305000000004</v>
      </c>
      <c r="L14" s="37"/>
      <c r="M14" s="30"/>
      <c r="N14" s="30"/>
      <c r="O14" s="30"/>
      <c r="P14" s="30"/>
      <c r="Q14" s="13">
        <f t="shared" si="1"/>
        <v>5</v>
      </c>
    </row>
    <row r="15" spans="1:17" x14ac:dyDescent="0.25">
      <c r="A15" s="233">
        <v>43904</v>
      </c>
      <c r="B15" s="225" t="str">
        <f t="shared" si="0"/>
        <v>So</v>
      </c>
      <c r="C15" s="226">
        <v>0</v>
      </c>
      <c r="D15" s="252"/>
      <c r="E15" s="228"/>
      <c r="F15" s="229"/>
      <c r="G15" s="230"/>
      <c r="H15" s="257"/>
      <c r="I15" s="231" t="s">
        <v>15</v>
      </c>
      <c r="J15" s="232" t="s">
        <v>16</v>
      </c>
      <c r="K15" s="15" t="s">
        <v>29</v>
      </c>
      <c r="L15" s="37"/>
      <c r="M15" s="30"/>
      <c r="N15" s="30"/>
      <c r="O15" s="30"/>
      <c r="P15" s="30"/>
      <c r="Q15" s="13">
        <f t="shared" si="1"/>
        <v>6</v>
      </c>
    </row>
    <row r="16" spans="1:17" x14ac:dyDescent="0.25">
      <c r="A16" s="233">
        <v>43905</v>
      </c>
      <c r="B16" s="234" t="str">
        <f t="shared" si="0"/>
        <v>Ne</v>
      </c>
      <c r="C16" s="235">
        <v>0</v>
      </c>
      <c r="D16" s="248"/>
      <c r="E16" s="256"/>
      <c r="F16" s="238"/>
      <c r="G16" s="239"/>
      <c r="H16" s="256"/>
      <c r="I16" s="240" t="s">
        <v>15</v>
      </c>
      <c r="J16" s="241" t="s">
        <v>16</v>
      </c>
      <c r="K16" s="258">
        <f>'20BřezenV'!O27</f>
        <v>511.11000000000013</v>
      </c>
      <c r="L16" s="37"/>
      <c r="M16" s="30"/>
      <c r="N16" s="30"/>
      <c r="O16" s="30"/>
      <c r="P16" s="30"/>
      <c r="Q16" s="13">
        <f t="shared" si="1"/>
        <v>7</v>
      </c>
    </row>
    <row r="17" spans="1:17" x14ac:dyDescent="0.25">
      <c r="A17" s="224">
        <v>43906</v>
      </c>
      <c r="B17" s="225" t="str">
        <f t="shared" si="0"/>
        <v>Po</v>
      </c>
      <c r="C17" s="243">
        <v>8</v>
      </c>
      <c r="D17" s="250" t="s">
        <v>110</v>
      </c>
      <c r="E17" s="257"/>
      <c r="F17" s="229" t="s">
        <v>111</v>
      </c>
      <c r="G17" s="230" t="s">
        <v>112</v>
      </c>
      <c r="H17" s="257" t="s">
        <v>113</v>
      </c>
      <c r="I17" s="231" t="s">
        <v>15</v>
      </c>
      <c r="J17" s="232" t="s">
        <v>16</v>
      </c>
      <c r="K17" s="15" t="s">
        <v>31</v>
      </c>
      <c r="P17" s="30"/>
      <c r="Q17" s="13">
        <f t="shared" si="1"/>
        <v>1</v>
      </c>
    </row>
    <row r="18" spans="1:17" x14ac:dyDescent="0.25">
      <c r="A18" s="233">
        <v>43907</v>
      </c>
      <c r="B18" s="234" t="str">
        <f t="shared" si="0"/>
        <v>Út</v>
      </c>
      <c r="C18" s="256">
        <v>8</v>
      </c>
      <c r="D18" s="248" t="s">
        <v>114</v>
      </c>
      <c r="E18" s="256"/>
      <c r="F18" s="238" t="s">
        <v>111</v>
      </c>
      <c r="G18" s="239" t="s">
        <v>112</v>
      </c>
      <c r="H18" s="256" t="s">
        <v>113</v>
      </c>
      <c r="I18" s="240" t="s">
        <v>15</v>
      </c>
      <c r="J18" s="241" t="s">
        <v>16</v>
      </c>
      <c r="K18" s="251">
        <v>0</v>
      </c>
      <c r="P18" s="30"/>
      <c r="Q18" s="13">
        <f t="shared" si="1"/>
        <v>2</v>
      </c>
    </row>
    <row r="19" spans="1:17" x14ac:dyDescent="0.25">
      <c r="A19" s="224">
        <v>43908</v>
      </c>
      <c r="B19" s="225" t="str">
        <f t="shared" si="0"/>
        <v>St</v>
      </c>
      <c r="C19" s="257">
        <v>8</v>
      </c>
      <c r="D19" s="250" t="s">
        <v>115</v>
      </c>
      <c r="E19" s="257" t="s">
        <v>72</v>
      </c>
      <c r="F19" s="229" t="s">
        <v>73</v>
      </c>
      <c r="G19" s="230" t="s">
        <v>74</v>
      </c>
      <c r="H19" s="257" t="s">
        <v>116</v>
      </c>
      <c r="I19" s="231" t="s">
        <v>15</v>
      </c>
      <c r="J19" s="232" t="s">
        <v>16</v>
      </c>
      <c r="K19" s="259" t="s">
        <v>33</v>
      </c>
      <c r="P19" s="30"/>
      <c r="Q19" s="13">
        <f t="shared" si="1"/>
        <v>3</v>
      </c>
    </row>
    <row r="20" spans="1:17" x14ac:dyDescent="0.25">
      <c r="A20" s="233">
        <v>43909</v>
      </c>
      <c r="B20" s="234" t="str">
        <f t="shared" si="0"/>
        <v>Čt</v>
      </c>
      <c r="C20" s="245">
        <v>11.5</v>
      </c>
      <c r="D20" s="248" t="s">
        <v>75</v>
      </c>
      <c r="E20" s="256" t="s">
        <v>72</v>
      </c>
      <c r="F20" s="238" t="s">
        <v>73</v>
      </c>
      <c r="G20" s="239" t="s">
        <v>74</v>
      </c>
      <c r="H20" s="256" t="s">
        <v>116</v>
      </c>
      <c r="I20" s="240" t="s">
        <v>15</v>
      </c>
      <c r="J20" s="241" t="s">
        <v>16</v>
      </c>
      <c r="K20" s="251">
        <v>0</v>
      </c>
      <c r="P20" s="30"/>
      <c r="Q20" s="13">
        <f t="shared" si="1"/>
        <v>4</v>
      </c>
    </row>
    <row r="21" spans="1:17" ht="15.75" customHeight="1" x14ac:dyDescent="0.25">
      <c r="A21" s="364">
        <v>43910</v>
      </c>
      <c r="B21" s="225" t="str">
        <f t="shared" si="0"/>
        <v>Pá</v>
      </c>
      <c r="C21" s="243">
        <v>11.5</v>
      </c>
      <c r="D21" s="252" t="s">
        <v>75</v>
      </c>
      <c r="E21" s="257" t="s">
        <v>72</v>
      </c>
      <c r="F21" s="229" t="s">
        <v>73</v>
      </c>
      <c r="G21" s="230" t="s">
        <v>74</v>
      </c>
      <c r="H21" s="257" t="s">
        <v>116</v>
      </c>
      <c r="I21" s="231" t="s">
        <v>15</v>
      </c>
      <c r="J21" s="232" t="s">
        <v>16</v>
      </c>
      <c r="K21" s="259" t="s">
        <v>34</v>
      </c>
      <c r="P21" s="30"/>
      <c r="Q21" s="13">
        <f t="shared" si="1"/>
        <v>5</v>
      </c>
    </row>
    <row r="22" spans="1:17" ht="15.75" customHeight="1" x14ac:dyDescent="0.25">
      <c r="A22" s="233">
        <v>43911</v>
      </c>
      <c r="B22" s="234" t="str">
        <f t="shared" si="0"/>
        <v>So</v>
      </c>
      <c r="C22" s="245">
        <v>8.5</v>
      </c>
      <c r="D22" s="253" t="s">
        <v>25</v>
      </c>
      <c r="E22" s="256" t="s">
        <v>72</v>
      </c>
      <c r="F22" s="238" t="s">
        <v>73</v>
      </c>
      <c r="G22" s="239" t="s">
        <v>74</v>
      </c>
      <c r="H22" s="256" t="s">
        <v>116</v>
      </c>
      <c r="I22" s="240" t="s">
        <v>15</v>
      </c>
      <c r="J22" s="241" t="s">
        <v>16</v>
      </c>
      <c r="K22" s="251">
        <v>0</v>
      </c>
      <c r="P22" s="30"/>
      <c r="Q22" s="13">
        <f t="shared" si="1"/>
        <v>6</v>
      </c>
    </row>
    <row r="23" spans="1:17" ht="15.75" customHeight="1" x14ac:dyDescent="0.25">
      <c r="A23" s="224">
        <v>43912</v>
      </c>
      <c r="B23" s="225" t="str">
        <f t="shared" si="0"/>
        <v>Ne</v>
      </c>
      <c r="C23" s="243">
        <v>0</v>
      </c>
      <c r="D23" s="250"/>
      <c r="E23" s="257" t="s">
        <v>72</v>
      </c>
      <c r="F23" s="238" t="s">
        <v>73</v>
      </c>
      <c r="G23" s="239" t="s">
        <v>74</v>
      </c>
      <c r="H23" s="256" t="s">
        <v>116</v>
      </c>
      <c r="I23" s="240" t="s">
        <v>15</v>
      </c>
      <c r="J23" s="241" t="s">
        <v>16</v>
      </c>
      <c r="K23" s="15" t="s">
        <v>35</v>
      </c>
      <c r="P23" s="30"/>
      <c r="Q23" s="13">
        <f t="shared" si="1"/>
        <v>7</v>
      </c>
    </row>
    <row r="24" spans="1:17" ht="15.75" customHeight="1" x14ac:dyDescent="0.25">
      <c r="A24" s="233">
        <v>43913</v>
      </c>
      <c r="B24" s="234" t="str">
        <f t="shared" si="0"/>
        <v>Po</v>
      </c>
      <c r="C24" s="245">
        <v>11.5</v>
      </c>
      <c r="D24" s="248" t="s">
        <v>75</v>
      </c>
      <c r="E24" s="256" t="s">
        <v>72</v>
      </c>
      <c r="F24" s="238" t="s">
        <v>73</v>
      </c>
      <c r="G24" s="239" t="s">
        <v>74</v>
      </c>
      <c r="H24" s="256" t="s">
        <v>116</v>
      </c>
      <c r="I24" s="240" t="s">
        <v>15</v>
      </c>
      <c r="J24" s="241" t="s">
        <v>16</v>
      </c>
      <c r="K24" s="260">
        <f>K12-L7</f>
        <v>44011.694999999992</v>
      </c>
      <c r="P24" s="30"/>
      <c r="Q24" s="13">
        <f t="shared" si="1"/>
        <v>1</v>
      </c>
    </row>
    <row r="25" spans="1:17" ht="15.75" customHeight="1" x14ac:dyDescent="0.25">
      <c r="A25" s="224">
        <v>43914</v>
      </c>
      <c r="B25" s="225" t="str">
        <f t="shared" si="0"/>
        <v>Út</v>
      </c>
      <c r="C25" s="243">
        <v>11.5</v>
      </c>
      <c r="D25" s="252" t="s">
        <v>75</v>
      </c>
      <c r="E25" s="257" t="s">
        <v>72</v>
      </c>
      <c r="F25" s="229" t="s">
        <v>73</v>
      </c>
      <c r="G25" s="230" t="s">
        <v>74</v>
      </c>
      <c r="H25" s="257" t="s">
        <v>116</v>
      </c>
      <c r="I25" s="231" t="s">
        <v>15</v>
      </c>
      <c r="J25" s="241" t="s">
        <v>16</v>
      </c>
      <c r="K25" s="15" t="s">
        <v>36</v>
      </c>
      <c r="P25" s="30"/>
      <c r="Q25" s="13">
        <f t="shared" si="1"/>
        <v>2</v>
      </c>
    </row>
    <row r="26" spans="1:17" ht="15.75" customHeight="1" x14ac:dyDescent="0.25">
      <c r="A26" s="233">
        <v>43915</v>
      </c>
      <c r="B26" s="234" t="str">
        <f t="shared" si="0"/>
        <v>St</v>
      </c>
      <c r="C26" s="245">
        <v>11.5</v>
      </c>
      <c r="D26" s="253" t="s">
        <v>75</v>
      </c>
      <c r="E26" s="256" t="s">
        <v>72</v>
      </c>
      <c r="F26" s="238" t="s">
        <v>73</v>
      </c>
      <c r="G26" s="239" t="s">
        <v>74</v>
      </c>
      <c r="H26" s="256" t="s">
        <v>116</v>
      </c>
      <c r="I26" s="240" t="s">
        <v>15</v>
      </c>
      <c r="J26" s="241" t="s">
        <v>16</v>
      </c>
      <c r="K26" s="261"/>
      <c r="P26" s="30"/>
      <c r="Q26" s="13">
        <f t="shared" si="1"/>
        <v>3</v>
      </c>
    </row>
    <row r="27" spans="1:17" ht="15.75" customHeight="1" x14ac:dyDescent="0.25">
      <c r="A27" s="224">
        <v>43916</v>
      </c>
      <c r="B27" s="225" t="str">
        <f t="shared" si="0"/>
        <v>Čt</v>
      </c>
      <c r="C27" s="243">
        <v>11.5</v>
      </c>
      <c r="D27" s="252" t="s">
        <v>75</v>
      </c>
      <c r="E27" s="257" t="s">
        <v>72</v>
      </c>
      <c r="F27" s="229" t="s">
        <v>73</v>
      </c>
      <c r="G27" s="230" t="s">
        <v>74</v>
      </c>
      <c r="H27" s="257" t="s">
        <v>116</v>
      </c>
      <c r="I27" s="231" t="s">
        <v>15</v>
      </c>
      <c r="J27" s="232" t="s">
        <v>16</v>
      </c>
      <c r="K27" s="30"/>
      <c r="P27" s="30"/>
      <c r="Q27" s="13">
        <f t="shared" si="1"/>
        <v>4</v>
      </c>
    </row>
    <row r="28" spans="1:17" ht="15.75" customHeight="1" x14ac:dyDescent="0.25">
      <c r="A28" s="262">
        <v>43917</v>
      </c>
      <c r="B28" s="234" t="str">
        <f t="shared" si="0"/>
        <v>Pá</v>
      </c>
      <c r="C28" s="245">
        <v>11.5</v>
      </c>
      <c r="D28" s="253" t="s">
        <v>75</v>
      </c>
      <c r="E28" s="256" t="s">
        <v>72</v>
      </c>
      <c r="F28" s="238" t="s">
        <v>73</v>
      </c>
      <c r="G28" s="239" t="s">
        <v>74</v>
      </c>
      <c r="H28" s="256" t="s">
        <v>116</v>
      </c>
      <c r="I28" s="240" t="s">
        <v>15</v>
      </c>
      <c r="J28" s="241" t="s">
        <v>16</v>
      </c>
      <c r="K28" s="30"/>
      <c r="L28" s="30"/>
      <c r="M28" s="30"/>
      <c r="N28" s="30"/>
      <c r="O28" s="30"/>
      <c r="P28" s="30"/>
      <c r="Q28" s="13">
        <f t="shared" si="1"/>
        <v>5</v>
      </c>
    </row>
    <row r="29" spans="1:17" ht="15.75" customHeight="1" x14ac:dyDescent="0.25">
      <c r="A29" s="264">
        <v>43918</v>
      </c>
      <c r="B29" s="225" t="str">
        <f t="shared" si="0"/>
        <v>So</v>
      </c>
      <c r="C29" s="243">
        <v>8.5</v>
      </c>
      <c r="D29" s="252" t="s">
        <v>25</v>
      </c>
      <c r="E29" s="257" t="s">
        <v>72</v>
      </c>
      <c r="F29" s="238" t="s">
        <v>73</v>
      </c>
      <c r="G29" s="239" t="s">
        <v>74</v>
      </c>
      <c r="H29" s="256" t="s">
        <v>116</v>
      </c>
      <c r="I29" s="240" t="s">
        <v>15</v>
      </c>
      <c r="J29" s="241" t="s">
        <v>16</v>
      </c>
      <c r="K29" s="30"/>
      <c r="L29" s="30"/>
      <c r="M29" s="30"/>
      <c r="N29" s="30"/>
      <c r="O29" s="30"/>
      <c r="P29" s="30"/>
      <c r="Q29" s="13">
        <f t="shared" si="1"/>
        <v>6</v>
      </c>
    </row>
    <row r="30" spans="1:17" ht="15.75" customHeight="1" x14ac:dyDescent="0.25">
      <c r="A30" s="265">
        <v>43919</v>
      </c>
      <c r="B30" s="234" t="str">
        <f t="shared" si="0"/>
        <v>Ne</v>
      </c>
      <c r="C30" s="245">
        <v>0</v>
      </c>
      <c r="D30" s="253"/>
      <c r="E30" s="256" t="s">
        <v>72</v>
      </c>
      <c r="F30" s="238" t="s">
        <v>73</v>
      </c>
      <c r="G30" s="239" t="s">
        <v>74</v>
      </c>
      <c r="H30" s="256" t="s">
        <v>116</v>
      </c>
      <c r="I30" s="240" t="s">
        <v>15</v>
      </c>
      <c r="J30" s="241" t="s">
        <v>16</v>
      </c>
      <c r="K30" s="30"/>
      <c r="L30" s="30"/>
      <c r="M30" s="30"/>
      <c r="N30" s="30"/>
      <c r="O30" s="30"/>
      <c r="P30" s="30"/>
      <c r="Q30" s="13">
        <f t="shared" si="1"/>
        <v>7</v>
      </c>
    </row>
    <row r="31" spans="1:17" ht="15.75" customHeight="1" x14ac:dyDescent="0.25">
      <c r="A31" s="264">
        <v>43920</v>
      </c>
      <c r="B31" s="225" t="str">
        <f t="shared" si="0"/>
        <v>Po</v>
      </c>
      <c r="C31" s="243">
        <v>11.5</v>
      </c>
      <c r="D31" s="252" t="s">
        <v>75</v>
      </c>
      <c r="E31" s="257" t="s">
        <v>72</v>
      </c>
      <c r="F31" s="229" t="s">
        <v>73</v>
      </c>
      <c r="G31" s="230" t="s">
        <v>74</v>
      </c>
      <c r="H31" s="257" t="s">
        <v>116</v>
      </c>
      <c r="I31" s="231" t="s">
        <v>15</v>
      </c>
      <c r="J31" s="232" t="s">
        <v>16</v>
      </c>
      <c r="K31" s="38"/>
      <c r="L31" s="36"/>
      <c r="M31" s="30"/>
      <c r="N31" s="30"/>
      <c r="O31" s="30"/>
      <c r="P31" s="30"/>
      <c r="Q31" s="13">
        <f t="shared" si="1"/>
        <v>1</v>
      </c>
    </row>
    <row r="32" spans="1:17" ht="15.75" customHeight="1" x14ac:dyDescent="0.25">
      <c r="A32" s="266">
        <v>43921</v>
      </c>
      <c r="B32" s="267" t="str">
        <f t="shared" si="0"/>
        <v>Út</v>
      </c>
      <c r="C32" s="365">
        <v>11.5</v>
      </c>
      <c r="D32" s="366" t="s">
        <v>75</v>
      </c>
      <c r="E32" s="367" t="s">
        <v>72</v>
      </c>
      <c r="F32" s="368"/>
      <c r="G32" s="239" t="s">
        <v>74</v>
      </c>
      <c r="H32" s="256" t="s">
        <v>116</v>
      </c>
      <c r="I32" s="369"/>
      <c r="J32" s="370"/>
      <c r="K32" s="38"/>
      <c r="L32" s="38"/>
      <c r="M32" s="38"/>
      <c r="N32" s="30"/>
      <c r="O32" s="30"/>
      <c r="P32" s="30"/>
      <c r="Q32" s="13">
        <f t="shared" si="1"/>
        <v>2</v>
      </c>
    </row>
    <row r="33" spans="1:18" ht="15.75" customHeight="1" x14ac:dyDescent="0.25">
      <c r="K33" s="38"/>
      <c r="L33" s="38"/>
      <c r="M33" s="38"/>
      <c r="N33" s="30"/>
      <c r="O33" s="30"/>
      <c r="P33" s="30"/>
    </row>
    <row r="34" spans="1:18" ht="15.75" customHeight="1" x14ac:dyDescent="0.25">
      <c r="K34" s="30"/>
      <c r="L34" s="38"/>
      <c r="M34" s="38"/>
      <c r="N34" s="30"/>
      <c r="O34" s="30"/>
      <c r="P34" s="30"/>
    </row>
    <row r="35" spans="1:18" ht="15.75" customHeight="1" x14ac:dyDescent="0.25">
      <c r="A35" s="30"/>
      <c r="B35" s="30"/>
      <c r="C35" s="30"/>
      <c r="D35" s="30"/>
      <c r="E35" s="30"/>
      <c r="F35" s="30"/>
      <c r="G35" s="13"/>
      <c r="L35" s="30"/>
      <c r="M35" s="30"/>
      <c r="N35" s="30"/>
      <c r="O35" s="30"/>
    </row>
    <row r="36" spans="1:18" ht="15.75" customHeight="1" x14ac:dyDescent="0.25">
      <c r="A36" s="1257" t="s">
        <v>80</v>
      </c>
      <c r="B36" s="1258"/>
      <c r="C36" s="1259" t="s">
        <v>81</v>
      </c>
      <c r="D36" s="1258"/>
      <c r="M36" s="30"/>
      <c r="N36" s="40"/>
      <c r="O36" s="40"/>
      <c r="P36" s="40"/>
    </row>
    <row r="37" spans="1:18" ht="15.75" customHeight="1" x14ac:dyDescent="0.25">
      <c r="A37" s="268" t="s">
        <v>47</v>
      </c>
      <c r="B37" s="269" t="s">
        <v>82</v>
      </c>
      <c r="C37" s="268" t="s">
        <v>47</v>
      </c>
      <c r="D37" s="270" t="s">
        <v>82</v>
      </c>
      <c r="M37" s="30"/>
      <c r="N37" s="40"/>
      <c r="O37" s="40"/>
      <c r="P37" s="40"/>
      <c r="Q37" s="40"/>
      <c r="R37" s="30"/>
    </row>
    <row r="38" spans="1:18" ht="15.75" customHeight="1" x14ac:dyDescent="0.25">
      <c r="A38" s="271">
        <v>43903</v>
      </c>
      <c r="B38" s="272">
        <v>151500</v>
      </c>
      <c r="C38" s="273"/>
      <c r="D38" s="274"/>
      <c r="M38" s="30"/>
      <c r="N38" s="40"/>
      <c r="O38" s="40"/>
      <c r="P38" s="40"/>
      <c r="Q38" s="40"/>
      <c r="R38" s="30"/>
    </row>
    <row r="39" spans="1:18" ht="15.75" customHeight="1" x14ac:dyDescent="0.25">
      <c r="A39" s="30"/>
      <c r="B39" s="1260" t="s">
        <v>83</v>
      </c>
      <c r="C39" s="1258"/>
      <c r="D39" s="30"/>
      <c r="M39" s="41"/>
      <c r="N39" s="40"/>
      <c r="O39" s="40"/>
      <c r="P39" s="40"/>
      <c r="Q39" s="40"/>
      <c r="R39" s="30"/>
    </row>
    <row r="40" spans="1:18" ht="15.75" customHeight="1" x14ac:dyDescent="0.25">
      <c r="A40" s="275"/>
      <c r="B40" s="1261">
        <f>D38-B38</f>
        <v>-151500</v>
      </c>
      <c r="C40" s="1262"/>
      <c r="D40" s="30"/>
      <c r="M40" s="41"/>
      <c r="N40" s="40"/>
      <c r="O40" s="40"/>
      <c r="P40" s="40"/>
      <c r="Q40" s="40"/>
      <c r="R40" s="30"/>
    </row>
    <row r="41" spans="1:18" ht="15.75" customHeight="1" x14ac:dyDescent="0.25">
      <c r="M41" s="41"/>
      <c r="N41" s="40"/>
      <c r="O41" s="40"/>
      <c r="P41" s="40"/>
      <c r="Q41" s="40"/>
      <c r="R41" s="30"/>
    </row>
    <row r="42" spans="1:18" ht="15.75" customHeight="1" x14ac:dyDescent="0.25">
      <c r="M42" s="41"/>
      <c r="N42" s="40"/>
      <c r="O42" s="40"/>
      <c r="P42" s="40"/>
      <c r="Q42" s="40"/>
      <c r="R42" s="30"/>
    </row>
    <row r="43" spans="1:18" ht="15.75" customHeight="1" x14ac:dyDescent="0.25">
      <c r="M43" s="41"/>
      <c r="N43" s="40"/>
      <c r="O43" s="40"/>
      <c r="P43" s="40"/>
      <c r="Q43" s="40"/>
      <c r="R43" s="30"/>
    </row>
    <row r="44" spans="1:18" ht="15.75" customHeight="1" x14ac:dyDescent="0.25">
      <c r="M44" s="41"/>
      <c r="N44" s="40"/>
      <c r="O44" s="40"/>
      <c r="P44" s="40"/>
      <c r="Q44" s="40"/>
      <c r="R44" s="30"/>
    </row>
    <row r="45" spans="1:18" ht="15.75" customHeight="1" x14ac:dyDescent="0.25">
      <c r="M45" s="41"/>
      <c r="N45" s="40"/>
      <c r="O45" s="40"/>
      <c r="P45" s="40"/>
      <c r="Q45" s="40"/>
      <c r="R45" s="30"/>
    </row>
    <row r="46" spans="1:18" ht="15.75" customHeight="1" x14ac:dyDescent="0.25">
      <c r="M46" s="41"/>
      <c r="N46" s="40"/>
      <c r="O46" s="40"/>
      <c r="P46" s="40"/>
      <c r="Q46" s="40"/>
      <c r="R46" s="30"/>
    </row>
    <row r="47" spans="1:18" ht="15.75" customHeight="1" x14ac:dyDescent="0.25">
      <c r="M47" s="41"/>
      <c r="N47" s="40"/>
      <c r="O47" s="40"/>
      <c r="P47" s="40"/>
      <c r="Q47" s="40"/>
      <c r="R47" s="30"/>
    </row>
    <row r="48" spans="1:18" ht="15.75" customHeight="1" x14ac:dyDescent="0.25">
      <c r="M48" s="41"/>
      <c r="N48" s="40"/>
      <c r="O48" s="40"/>
      <c r="P48" s="40"/>
      <c r="Q48" s="40"/>
      <c r="R48" s="30"/>
    </row>
    <row r="49" spans="13:18" ht="15.75" customHeight="1" x14ac:dyDescent="0.25">
      <c r="M49" s="41"/>
      <c r="N49" s="40"/>
      <c r="O49" s="40"/>
      <c r="P49" s="40"/>
      <c r="Q49" s="40"/>
      <c r="R49" s="30"/>
    </row>
    <row r="50" spans="13:18" ht="15.75" customHeight="1" x14ac:dyDescent="0.25">
      <c r="M50" s="41"/>
      <c r="N50" s="40"/>
      <c r="O50" s="40"/>
      <c r="P50" s="40"/>
      <c r="Q50" s="40"/>
      <c r="R50" s="30"/>
    </row>
    <row r="51" spans="13:18" ht="15.75" customHeight="1" x14ac:dyDescent="0.25">
      <c r="M51" s="41"/>
      <c r="N51" s="40"/>
      <c r="O51" s="40"/>
      <c r="P51" s="40"/>
      <c r="Q51" s="40"/>
      <c r="R51" s="30"/>
    </row>
    <row r="52" spans="13:18" ht="15.75" customHeight="1" x14ac:dyDescent="0.25">
      <c r="M52" s="41"/>
      <c r="N52" s="40"/>
      <c r="O52" s="40"/>
      <c r="P52" s="40"/>
      <c r="Q52" s="40"/>
      <c r="R52" s="30"/>
    </row>
    <row r="53" spans="13:18" ht="15.75" customHeight="1" x14ac:dyDescent="0.25">
      <c r="M53" s="41"/>
      <c r="N53" s="40"/>
      <c r="O53" s="40"/>
      <c r="P53" s="40"/>
      <c r="Q53" s="40"/>
      <c r="R53" s="30"/>
    </row>
    <row r="54" spans="13:18" ht="15.75" customHeight="1" x14ac:dyDescent="0.25">
      <c r="M54" s="41"/>
      <c r="N54" s="40"/>
      <c r="O54" s="40"/>
      <c r="P54" s="40"/>
      <c r="Q54" s="40"/>
      <c r="R54" s="30"/>
    </row>
    <row r="55" spans="13:18" ht="15.75" customHeight="1" x14ac:dyDescent="0.25">
      <c r="M55" s="41"/>
      <c r="N55" s="40"/>
      <c r="O55" s="40"/>
      <c r="P55" s="40"/>
      <c r="Q55" s="40"/>
      <c r="R55" s="30"/>
    </row>
    <row r="56" spans="13:18" ht="15.75" customHeight="1" x14ac:dyDescent="0.25">
      <c r="M56" s="41"/>
      <c r="N56" s="40"/>
      <c r="O56" s="40"/>
      <c r="P56" s="40"/>
      <c r="Q56" s="40"/>
      <c r="R56" s="30"/>
    </row>
    <row r="57" spans="13:18" ht="15.75" customHeight="1" x14ac:dyDescent="0.25">
      <c r="M57" s="41"/>
      <c r="N57" s="40"/>
      <c r="O57" s="40"/>
      <c r="P57" s="40"/>
      <c r="Q57" s="40"/>
      <c r="R57" s="30"/>
    </row>
    <row r="58" spans="13:18" ht="15.75" customHeight="1" x14ac:dyDescent="0.25">
      <c r="M58" s="41"/>
      <c r="N58" s="40"/>
      <c r="O58" s="40"/>
      <c r="P58" s="40"/>
      <c r="Q58" s="40"/>
      <c r="R58" s="30"/>
    </row>
    <row r="59" spans="13:18" ht="15.75" customHeight="1" x14ac:dyDescent="0.25">
      <c r="M59" s="41"/>
      <c r="N59" s="40"/>
      <c r="O59" s="40"/>
      <c r="P59" s="40"/>
      <c r="Q59" s="40"/>
      <c r="R59" s="30"/>
    </row>
    <row r="60" spans="13:18" ht="15.75" customHeight="1" x14ac:dyDescent="0.25">
      <c r="M60" s="41"/>
      <c r="N60" s="40"/>
      <c r="O60" s="40"/>
      <c r="P60" s="40"/>
      <c r="Q60" s="40"/>
      <c r="R60" s="30"/>
    </row>
    <row r="61" spans="13:18" ht="15.75" customHeight="1" x14ac:dyDescent="0.25">
      <c r="M61" s="41"/>
      <c r="N61" s="40"/>
      <c r="O61" s="40"/>
      <c r="P61" s="40"/>
      <c r="Q61" s="40"/>
      <c r="R61" s="30"/>
    </row>
    <row r="62" spans="13:18" ht="15.75" customHeight="1" x14ac:dyDescent="0.25">
      <c r="M62" s="41"/>
      <c r="N62" s="40"/>
      <c r="O62" s="40"/>
      <c r="P62" s="40"/>
      <c r="Q62" s="40"/>
      <c r="R62" s="30"/>
    </row>
    <row r="63" spans="13:18" ht="15.75" customHeight="1" x14ac:dyDescent="0.25">
      <c r="M63" s="41"/>
      <c r="N63" s="40"/>
      <c r="O63" s="40"/>
      <c r="P63" s="40"/>
      <c r="Q63" s="40"/>
      <c r="R63" s="30"/>
    </row>
    <row r="64" spans="13:18" ht="15.75" customHeight="1" x14ac:dyDescent="0.25">
      <c r="M64" s="41"/>
      <c r="N64" s="40"/>
      <c r="O64" s="40"/>
      <c r="P64" s="40"/>
      <c r="Q64" s="40"/>
      <c r="R64" s="30"/>
    </row>
    <row r="65" spans="1:18" ht="15.75" customHeight="1" x14ac:dyDescent="0.25">
      <c r="M65" s="41"/>
      <c r="N65" s="40"/>
      <c r="O65" s="40"/>
      <c r="P65" s="40"/>
      <c r="Q65" s="40"/>
      <c r="R65" s="30"/>
    </row>
    <row r="66" spans="1:18" ht="15.75" customHeight="1" x14ac:dyDescent="0.25">
      <c r="M66" s="41"/>
      <c r="N66" s="40"/>
      <c r="O66" s="40"/>
      <c r="P66" s="40"/>
      <c r="Q66" s="40"/>
      <c r="R66" s="30"/>
    </row>
    <row r="67" spans="1:18" ht="15.75" customHeight="1" x14ac:dyDescent="0.25">
      <c r="M67" s="41"/>
      <c r="N67" s="40"/>
      <c r="O67" s="40"/>
      <c r="P67" s="40"/>
      <c r="Q67" s="40"/>
      <c r="R67" s="30"/>
    </row>
    <row r="68" spans="1:18" ht="15.75" customHeight="1" x14ac:dyDescent="0.25">
      <c r="M68" s="41"/>
      <c r="N68" s="40"/>
      <c r="O68" s="40"/>
      <c r="P68" s="40"/>
      <c r="Q68" s="40"/>
      <c r="R68" s="30"/>
    </row>
    <row r="69" spans="1:18" ht="15.75" customHeight="1" x14ac:dyDescent="0.25">
      <c r="M69" s="41"/>
      <c r="N69" s="40"/>
      <c r="O69" s="40"/>
      <c r="P69" s="40"/>
      <c r="Q69" s="40"/>
      <c r="R69" s="30"/>
    </row>
    <row r="70" spans="1:18" ht="15.75" customHeight="1" x14ac:dyDescent="0.25">
      <c r="M70" s="41"/>
      <c r="N70" s="40"/>
      <c r="O70" s="40"/>
      <c r="P70" s="40"/>
      <c r="Q70" s="40"/>
      <c r="R70" s="30"/>
    </row>
    <row r="71" spans="1:18" ht="15.75" customHeight="1" x14ac:dyDescent="0.25">
      <c r="M71" s="41"/>
      <c r="N71" s="40"/>
      <c r="O71" s="40"/>
      <c r="P71" s="40"/>
      <c r="Q71" s="40"/>
      <c r="R71" s="30"/>
    </row>
    <row r="72" spans="1:18" ht="15.75" customHeight="1" x14ac:dyDescent="0.25">
      <c r="M72" s="41"/>
      <c r="N72" s="40"/>
      <c r="O72" s="40"/>
      <c r="P72" s="40"/>
      <c r="Q72" s="40"/>
      <c r="R72" s="30"/>
    </row>
    <row r="73" spans="1:18" ht="15.75" customHeight="1" x14ac:dyDescent="0.25">
      <c r="M73" s="41"/>
      <c r="N73" s="40"/>
      <c r="O73" s="40"/>
      <c r="P73" s="40"/>
      <c r="Q73" s="40"/>
      <c r="R73" s="30"/>
    </row>
    <row r="74" spans="1:18" ht="15.75" customHeight="1" x14ac:dyDescent="0.25">
      <c r="M74" s="41"/>
      <c r="N74" s="40"/>
      <c r="O74" s="40"/>
      <c r="P74" s="40"/>
      <c r="Q74" s="40"/>
      <c r="R74" s="30"/>
    </row>
    <row r="75" spans="1:18" ht="15.75" customHeight="1" x14ac:dyDescent="0.25">
      <c r="M75" s="41"/>
      <c r="N75" s="40"/>
      <c r="O75" s="40"/>
      <c r="P75" s="40"/>
      <c r="Q75" s="40"/>
      <c r="R75" s="30"/>
    </row>
    <row r="76" spans="1:18" ht="15" customHeight="1" x14ac:dyDescent="0.25">
      <c r="M76" s="41"/>
    </row>
    <row r="77" spans="1:18" ht="15" customHeight="1" x14ac:dyDescent="0.25">
      <c r="M77" s="41"/>
    </row>
    <row r="78" spans="1:18" ht="15" customHeight="1" x14ac:dyDescent="0.25">
      <c r="M78" s="40"/>
    </row>
    <row r="79" spans="1:18" ht="15" customHeight="1" x14ac:dyDescent="0.25">
      <c r="A79" s="42"/>
      <c r="M79" s="40"/>
    </row>
    <row r="80" spans="1:18" ht="15" customHeight="1" x14ac:dyDescent="0.25">
      <c r="A80" s="42"/>
      <c r="M80" s="40"/>
    </row>
    <row r="81" spans="1:1" ht="15.75" customHeight="1" x14ac:dyDescent="0.25">
      <c r="A81" s="42"/>
    </row>
    <row r="82" spans="1:1" ht="15.75" customHeight="1" x14ac:dyDescent="0.25">
      <c r="A82" s="42"/>
    </row>
    <row r="83" spans="1:1" ht="15.75" customHeight="1" x14ac:dyDescent="0.25">
      <c r="A83" s="42"/>
    </row>
    <row r="84" spans="1:1" ht="15.75" customHeight="1" x14ac:dyDescent="0.25">
      <c r="A84" s="42"/>
    </row>
    <row r="85" spans="1:1" ht="15.75" customHeight="1" x14ac:dyDescent="0.25">
      <c r="A85" s="42"/>
    </row>
    <row r="86" spans="1:1" ht="15.75" customHeight="1" x14ac:dyDescent="0.25">
      <c r="A86" s="42"/>
    </row>
    <row r="87" spans="1:1" ht="15.75" customHeight="1" x14ac:dyDescent="0.25">
      <c r="A87" s="42"/>
    </row>
    <row r="88" spans="1:1" ht="15.75" customHeight="1" x14ac:dyDescent="0.25">
      <c r="A88" s="42"/>
    </row>
    <row r="89" spans="1:1" ht="15.75" customHeight="1" x14ac:dyDescent="0.25">
      <c r="A89" s="42"/>
    </row>
    <row r="90" spans="1:1" ht="15.75" customHeight="1" x14ac:dyDescent="0.25">
      <c r="A90" s="42"/>
    </row>
    <row r="91" spans="1:1" ht="15.75" customHeight="1" x14ac:dyDescent="0.25">
      <c r="A91" s="42"/>
    </row>
    <row r="92" spans="1:1" ht="15.75" customHeight="1" x14ac:dyDescent="0.25">
      <c r="A92" s="42"/>
    </row>
    <row r="93" spans="1:1" ht="15.75" customHeight="1" x14ac:dyDescent="0.25">
      <c r="A93" s="42"/>
    </row>
    <row r="94" spans="1:1" ht="15.75" customHeight="1" x14ac:dyDescent="0.25">
      <c r="A94" s="42"/>
    </row>
    <row r="95" spans="1:1" ht="15.75" customHeight="1" x14ac:dyDescent="0.25">
      <c r="A95" s="42"/>
    </row>
    <row r="96" spans="1:1" ht="15.75" customHeight="1" x14ac:dyDescent="0.25">
      <c r="A96" s="42"/>
    </row>
    <row r="97" spans="1:1" ht="15.75" customHeight="1" x14ac:dyDescent="0.25">
      <c r="A97" s="42"/>
    </row>
    <row r="98" spans="1:1" ht="15.75" customHeight="1" x14ac:dyDescent="0.25">
      <c r="A98" s="42"/>
    </row>
    <row r="99" spans="1:1" ht="15.75" customHeight="1" x14ac:dyDescent="0.25">
      <c r="A99" s="42"/>
    </row>
    <row r="100" spans="1:1" ht="15.75" customHeight="1" x14ac:dyDescent="0.25">
      <c r="A100" s="42"/>
    </row>
  </sheetData>
  <mergeCells count="4">
    <mergeCell ref="A36:B36"/>
    <mergeCell ref="C36:D36"/>
    <mergeCell ref="B39:C39"/>
    <mergeCell ref="B40:C40"/>
  </mergeCells>
  <conditionalFormatting sqref="A2:F2 G2:J13 B3:E13 A3:A28 B14:J18 B19 D19:H19 I19:J32 B20:H20 B21:E28 F21:F31 G21:H32 A29:E31 A32:F32">
    <cfRule type="expression" dxfId="156" priority="1">
      <formula>$Q2&gt;5</formula>
    </cfRule>
  </conditionalFormatting>
  <conditionalFormatting sqref="F7:F9">
    <cfRule type="expression" dxfId="155" priority="2">
      <formula>$Q7&gt;5</formula>
    </cfRule>
  </conditionalFormatting>
  <pageMargins left="0.7" right="0.7" top="0.75" bottom="0.75" header="0" footer="0"/>
  <pageSetup orientation="landscape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41DF9B-0CEF-0E4E-A3D0-3AF5A2D46408}">
  <sheetPr>
    <tabColor theme="3"/>
  </sheetPr>
  <dimension ref="A1:V45"/>
  <sheetViews>
    <sheetView topLeftCell="V6" zoomScaleNormal="60" zoomScaleSheetLayoutView="100" workbookViewId="0">
      <selection activeCell="S4" sqref="S4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5.5703125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1080">
        <v>44774</v>
      </c>
      <c r="B2" s="656" t="str">
        <f t="shared" ref="B2:B35" si="0">CHOOSE(WEEKDAY(V2),"Po","Út","St","Čt","Pá","So","Ne")</f>
        <v>Po</v>
      </c>
      <c r="C2" s="724">
        <f t="shared" ref="C2:C35" si="1">G2-E2-F2</f>
        <v>0.45833333333333326</v>
      </c>
      <c r="D2" s="1079">
        <f t="shared" ref="D2:D35" si="2">(N2*C2)*24</f>
        <v>0</v>
      </c>
      <c r="E2" s="724">
        <v>0.29166666666666669</v>
      </c>
      <c r="F2" s="724">
        <f>TIME(1,0,0)</f>
        <v>4.1666666666666664E-2</v>
      </c>
      <c r="G2" s="724">
        <v>0.79166666666666663</v>
      </c>
      <c r="H2" s="654"/>
      <c r="I2" s="657"/>
      <c r="J2" s="654"/>
      <c r="K2" s="656"/>
      <c r="L2" s="654"/>
      <c r="M2" s="657"/>
      <c r="N2" s="713"/>
      <c r="O2" s="1081">
        <f>(O4+O6)</f>
        <v>188.5</v>
      </c>
      <c r="P2" s="656">
        <f t="shared" ref="P2" si="3">P4+P6</f>
        <v>188.5</v>
      </c>
      <c r="Q2" s="1094">
        <f>'07hod22'!Q5</f>
        <v>0</v>
      </c>
      <c r="R2" s="644" t="s">
        <v>17</v>
      </c>
      <c r="S2" s="1092" t="str">
        <f>'07hod22'!S5</f>
        <v>Výplata za Červenec</v>
      </c>
      <c r="T2" s="1093" t="str">
        <f>'07hod22'!T5</f>
        <v>xx.08.2022</v>
      </c>
      <c r="U2" s="722">
        <f>T7*20</f>
        <v>0</v>
      </c>
      <c r="V2" s="642">
        <f t="shared" ref="V2:V32" si="4">WEEKDAY(A2,2)</f>
        <v>1</v>
      </c>
    </row>
    <row r="3" spans="1:22" x14ac:dyDescent="0.25">
      <c r="A3" s="1080">
        <v>44775</v>
      </c>
      <c r="B3" s="657" t="str">
        <f t="shared" si="0"/>
        <v>Út</v>
      </c>
      <c r="C3" s="724">
        <f t="shared" si="1"/>
        <v>0.45833333333333326</v>
      </c>
      <c r="D3" s="1079">
        <f t="shared" si="2"/>
        <v>0</v>
      </c>
      <c r="E3" s="724">
        <v>0.29166666666666669</v>
      </c>
      <c r="F3" s="724">
        <f>TIME(1,0,0)</f>
        <v>4.1666666666666664E-2</v>
      </c>
      <c r="G3" s="724">
        <v>0.79166666666666663</v>
      </c>
      <c r="H3" s="654"/>
      <c r="I3" s="657"/>
      <c r="J3" s="654"/>
      <c r="K3" s="657"/>
      <c r="L3" s="654"/>
      <c r="M3" s="657"/>
      <c r="N3" s="714"/>
      <c r="O3" s="654" t="s">
        <v>19</v>
      </c>
      <c r="P3" s="657" t="s">
        <v>19</v>
      </c>
      <c r="Q3" s="738">
        <v>0</v>
      </c>
      <c r="R3" s="611" t="s">
        <v>48</v>
      </c>
      <c r="S3" s="611" t="s">
        <v>48</v>
      </c>
      <c r="T3" s="874">
        <v>1</v>
      </c>
      <c r="U3" s="718"/>
      <c r="V3" s="642">
        <f t="shared" si="4"/>
        <v>2</v>
      </c>
    </row>
    <row r="4" spans="1:22" x14ac:dyDescent="0.25">
      <c r="A4" s="1080">
        <v>44776</v>
      </c>
      <c r="B4" s="657" t="str">
        <f t="shared" si="0"/>
        <v>St</v>
      </c>
      <c r="C4" s="724">
        <f t="shared" si="1"/>
        <v>0.45833333333333326</v>
      </c>
      <c r="D4" s="1079">
        <f t="shared" si="2"/>
        <v>0</v>
      </c>
      <c r="E4" s="724">
        <v>0.29166666666666669</v>
      </c>
      <c r="F4" s="724">
        <v>4.1666666666666664E-2</v>
      </c>
      <c r="G4" s="724">
        <v>0.79166666666666663</v>
      </c>
      <c r="H4" s="654"/>
      <c r="I4" s="657"/>
      <c r="J4" s="654"/>
      <c r="K4" s="657"/>
      <c r="L4" s="654"/>
      <c r="M4" s="657"/>
      <c r="N4" s="714"/>
      <c r="O4" s="1082">
        <v>188.5</v>
      </c>
      <c r="P4" s="657">
        <v>188.5</v>
      </c>
      <c r="Q4" s="738">
        <v>50000</v>
      </c>
      <c r="R4" s="611" t="s">
        <v>17</v>
      </c>
      <c r="S4" s="611" t="s">
        <v>175</v>
      </c>
      <c r="T4" s="646"/>
      <c r="U4" s="718"/>
      <c r="V4" s="642">
        <f t="shared" si="4"/>
        <v>3</v>
      </c>
    </row>
    <row r="5" spans="1:22" x14ac:dyDescent="0.25">
      <c r="A5" s="1080">
        <v>44777</v>
      </c>
      <c r="B5" s="657" t="str">
        <f t="shared" si="0"/>
        <v>Čt</v>
      </c>
      <c r="C5" s="724">
        <f t="shared" si="1"/>
        <v>0.45833333333333326</v>
      </c>
      <c r="D5" s="1079">
        <f t="shared" si="2"/>
        <v>0</v>
      </c>
      <c r="E5" s="724">
        <v>0.29166666666666669</v>
      </c>
      <c r="F5" s="724">
        <v>4.1666666666666664E-2</v>
      </c>
      <c r="G5" s="724">
        <v>0.79166666666666663</v>
      </c>
      <c r="H5" s="654"/>
      <c r="I5" s="657"/>
      <c r="J5" s="654"/>
      <c r="K5" s="657"/>
      <c r="L5" s="654"/>
      <c r="M5" s="657"/>
      <c r="N5" s="714"/>
      <c r="O5" s="654" t="s">
        <v>14</v>
      </c>
      <c r="P5" s="657" t="s">
        <v>14</v>
      </c>
      <c r="Q5" s="738">
        <v>0</v>
      </c>
      <c r="R5" s="611" t="s">
        <v>17</v>
      </c>
      <c r="S5" s="611" t="s">
        <v>424</v>
      </c>
      <c r="T5" s="646" t="s">
        <v>508</v>
      </c>
      <c r="U5" s="718"/>
      <c r="V5" s="642">
        <f t="shared" si="4"/>
        <v>4</v>
      </c>
    </row>
    <row r="6" spans="1:22" ht="15.75" thickBot="1" x14ac:dyDescent="0.3">
      <c r="A6" s="1080">
        <v>44778</v>
      </c>
      <c r="B6" s="657" t="str">
        <f t="shared" si="0"/>
        <v>Pá</v>
      </c>
      <c r="C6" s="724">
        <f t="shared" si="1"/>
        <v>0.45833333333333326</v>
      </c>
      <c r="D6" s="1079">
        <f t="shared" si="2"/>
        <v>0</v>
      </c>
      <c r="E6" s="724">
        <v>0.29166666666666669</v>
      </c>
      <c r="F6" s="724">
        <v>4.1666666666666664E-2</v>
      </c>
      <c r="G6" s="724">
        <v>0.79166666666666663</v>
      </c>
      <c r="H6" s="654"/>
      <c r="I6" s="657"/>
      <c r="J6" s="654"/>
      <c r="K6" s="657"/>
      <c r="L6" s="654"/>
      <c r="M6" s="657"/>
      <c r="N6" s="714"/>
      <c r="O6" s="1082">
        <f>O41*24</f>
        <v>0</v>
      </c>
      <c r="P6" s="657">
        <v>0</v>
      </c>
      <c r="Q6" s="712" t="s">
        <v>575</v>
      </c>
      <c r="R6" s="647"/>
      <c r="S6" s="647" t="s">
        <v>48</v>
      </c>
      <c r="T6" s="648"/>
      <c r="U6" s="718"/>
      <c r="V6" s="642">
        <f t="shared" si="4"/>
        <v>5</v>
      </c>
    </row>
    <row r="7" spans="1:22" x14ac:dyDescent="0.25">
      <c r="A7" s="1080">
        <v>44779</v>
      </c>
      <c r="B7" s="657" t="str">
        <f t="shared" si="0"/>
        <v>So</v>
      </c>
      <c r="C7" s="724">
        <f t="shared" si="1"/>
        <v>0.33333333333333337</v>
      </c>
      <c r="D7" s="1079">
        <f t="shared" si="2"/>
        <v>0</v>
      </c>
      <c r="E7" s="724">
        <v>0.29166666666666669</v>
      </c>
      <c r="F7" s="724">
        <f>TIME(0,30,0)</f>
        <v>2.0833333333333332E-2</v>
      </c>
      <c r="G7" s="724">
        <v>0.64583333333333337</v>
      </c>
      <c r="H7" s="654"/>
      <c r="I7" s="657"/>
      <c r="J7" s="654"/>
      <c r="K7" s="657"/>
      <c r="L7" s="654"/>
      <c r="M7" s="657"/>
      <c r="N7" s="714"/>
      <c r="O7" s="654" t="s">
        <v>20</v>
      </c>
      <c r="P7" s="1026" t="s">
        <v>20</v>
      </c>
      <c r="Q7" s="721">
        <f>Q3+Q4</f>
        <v>50000</v>
      </c>
      <c r="R7" s="718"/>
      <c r="S7" s="718"/>
      <c r="T7" s="718"/>
      <c r="U7" s="718"/>
      <c r="V7" s="642">
        <f t="shared" si="4"/>
        <v>6</v>
      </c>
    </row>
    <row r="8" spans="1:22" x14ac:dyDescent="0.25">
      <c r="A8" s="1080">
        <v>44780</v>
      </c>
      <c r="B8" s="657" t="str">
        <f t="shared" si="0"/>
        <v>Ne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509</v>
      </c>
      <c r="P8" s="1026" t="s">
        <v>509</v>
      </c>
      <c r="Q8" s="657" t="s">
        <v>229</v>
      </c>
      <c r="R8" s="718"/>
      <c r="S8" s="718"/>
      <c r="T8" s="718"/>
      <c r="U8" s="718"/>
      <c r="V8" s="642">
        <f t="shared" si="4"/>
        <v>7</v>
      </c>
    </row>
    <row r="9" spans="1:22" x14ac:dyDescent="0.25">
      <c r="A9" s="1080">
        <v>44781</v>
      </c>
      <c r="B9" s="657" t="str">
        <f t="shared" si="0"/>
        <v>Po</v>
      </c>
      <c r="C9" s="724">
        <f t="shared" si="1"/>
        <v>0.45833333333333326</v>
      </c>
      <c r="D9" s="1079">
        <f t="shared" si="2"/>
        <v>0</v>
      </c>
      <c r="E9" s="724">
        <v>0.29166666666666669</v>
      </c>
      <c r="F9" s="724">
        <v>4.1666666666666664E-2</v>
      </c>
      <c r="G9" s="724">
        <v>0.79166666666666663</v>
      </c>
      <c r="H9" s="654"/>
      <c r="I9" s="657"/>
      <c r="J9" s="654"/>
      <c r="K9" s="657"/>
      <c r="L9" s="654"/>
      <c r="M9" s="657"/>
      <c r="N9" s="714"/>
      <c r="O9" s="654" t="s">
        <v>23</v>
      </c>
      <c r="P9" s="1026" t="s">
        <v>23</v>
      </c>
      <c r="Q9" s="657">
        <f>SUM(Q2:Q4)</f>
        <v>50000</v>
      </c>
      <c r="R9" s="718"/>
      <c r="S9" s="718"/>
      <c r="T9" s="718"/>
      <c r="U9" s="718"/>
      <c r="V9" s="642">
        <f t="shared" si="4"/>
        <v>1</v>
      </c>
    </row>
    <row r="10" spans="1:22" x14ac:dyDescent="0.25">
      <c r="A10" s="1080">
        <v>44782</v>
      </c>
      <c r="B10" s="657" t="str">
        <f t="shared" si="0"/>
        <v>Út</v>
      </c>
      <c r="C10" s="724">
        <f t="shared" si="1"/>
        <v>0.45833333333333326</v>
      </c>
      <c r="D10" s="1079">
        <f t="shared" si="2"/>
        <v>0</v>
      </c>
      <c r="E10" s="724">
        <v>0.29166666666666669</v>
      </c>
      <c r="F10" s="724">
        <v>4.1666666666666664E-2</v>
      </c>
      <c r="G10" s="724">
        <v>0.79166666666666663</v>
      </c>
      <c r="H10" s="654"/>
      <c r="I10" s="657"/>
      <c r="J10" s="654"/>
      <c r="K10" s="657"/>
      <c r="L10" s="654"/>
      <c r="M10" s="657"/>
      <c r="N10" s="714"/>
      <c r="O10" s="1083">
        <f>(O2*380)+U2</f>
        <v>71630</v>
      </c>
      <c r="P10" s="1088">
        <f>SUM(P2*380)</f>
        <v>71630</v>
      </c>
      <c r="Q10" s="719"/>
      <c r="R10" s="718"/>
      <c r="S10" s="718"/>
      <c r="T10" s="718"/>
      <c r="U10" s="718"/>
      <c r="V10" s="642">
        <f t="shared" si="4"/>
        <v>2</v>
      </c>
    </row>
    <row r="11" spans="1:22" x14ac:dyDescent="0.25">
      <c r="A11" s="1080">
        <v>44783</v>
      </c>
      <c r="B11" s="657" t="str">
        <f t="shared" si="0"/>
        <v>St</v>
      </c>
      <c r="C11" s="724">
        <f t="shared" si="1"/>
        <v>0.45833333333333326</v>
      </c>
      <c r="D11" s="1079">
        <f t="shared" si="2"/>
        <v>0</v>
      </c>
      <c r="E11" s="724">
        <v>0.29166666666666669</v>
      </c>
      <c r="F11" s="724">
        <v>4.1666666666666664E-2</v>
      </c>
      <c r="G11" s="724">
        <v>0.79166666666666663</v>
      </c>
      <c r="H11" s="654"/>
      <c r="I11" s="657"/>
      <c r="J11" s="654"/>
      <c r="K11" s="657"/>
      <c r="L11" s="654"/>
      <c r="M11" s="657"/>
      <c r="N11" s="714"/>
      <c r="O11" s="654" t="s">
        <v>361</v>
      </c>
      <c r="P11" s="1026" t="s">
        <v>361</v>
      </c>
      <c r="Q11" s="718"/>
      <c r="R11" s="718"/>
      <c r="S11" s="718"/>
      <c r="T11" s="718"/>
      <c r="U11" s="718"/>
      <c r="V11" s="642">
        <f t="shared" si="4"/>
        <v>3</v>
      </c>
    </row>
    <row r="12" spans="1:22" x14ac:dyDescent="0.25">
      <c r="A12" s="1080">
        <v>44784</v>
      </c>
      <c r="B12" s="657" t="str">
        <f t="shared" si="0"/>
        <v>Čt</v>
      </c>
      <c r="C12" s="724">
        <f>G12-E12-F12</f>
        <v>0.45833333333333326</v>
      </c>
      <c r="D12" s="1079">
        <f t="shared" si="2"/>
        <v>0</v>
      </c>
      <c r="E12" s="724">
        <v>0.29166666666666669</v>
      </c>
      <c r="F12" s="724">
        <f>TIME(1,0,0)</f>
        <v>4.1666666666666664E-2</v>
      </c>
      <c r="G12" s="724">
        <v>0.79166666666666663</v>
      </c>
      <c r="H12" s="654"/>
      <c r="I12" s="657"/>
      <c r="J12" s="654"/>
      <c r="K12" s="657"/>
      <c r="L12" s="654"/>
      <c r="M12" s="657"/>
      <c r="N12" s="714"/>
      <c r="O12" s="1083">
        <f>(O10+O20+O18-O22)-O14-P24</f>
        <v>38991</v>
      </c>
      <c r="P12" s="1088">
        <f>(P10+P18+P20-P22)-P14-P24</f>
        <v>38991</v>
      </c>
      <c r="Q12" s="718"/>
      <c r="R12" s="718"/>
      <c r="S12" s="718"/>
      <c r="T12" s="718"/>
      <c r="U12" s="718"/>
      <c r="V12" s="642">
        <f t="shared" si="4"/>
        <v>4</v>
      </c>
    </row>
    <row r="13" spans="1:22" x14ac:dyDescent="0.25">
      <c r="A13" s="1080">
        <v>44785</v>
      </c>
      <c r="B13" s="657" t="str">
        <f t="shared" si="0"/>
        <v>Pá</v>
      </c>
      <c r="C13" s="724">
        <f t="shared" si="1"/>
        <v>0.45833333333333326</v>
      </c>
      <c r="D13" s="1079">
        <f t="shared" si="2"/>
        <v>0</v>
      </c>
      <c r="E13" s="724">
        <v>0.29166666666666669</v>
      </c>
      <c r="F13" s="724">
        <f>TIME(1,0,0)</f>
        <v>4.1666666666666664E-2</v>
      </c>
      <c r="G13" s="724">
        <v>0.79166666666666663</v>
      </c>
      <c r="H13" s="654"/>
      <c r="I13" s="657"/>
      <c r="J13" s="654"/>
      <c r="K13" s="657"/>
      <c r="L13" s="654"/>
      <c r="M13" s="657"/>
      <c r="N13" s="714"/>
      <c r="O13" s="654" t="s">
        <v>26</v>
      </c>
      <c r="P13" s="1088" t="s">
        <v>26</v>
      </c>
      <c r="Q13" s="718"/>
      <c r="R13" s="718"/>
      <c r="S13" s="718"/>
      <c r="T13" s="718"/>
      <c r="U13" s="718"/>
      <c r="V13" s="642">
        <f t="shared" si="4"/>
        <v>5</v>
      </c>
    </row>
    <row r="14" spans="1:22" x14ac:dyDescent="0.25">
      <c r="A14" s="1080">
        <v>44786</v>
      </c>
      <c r="B14" s="657" t="str">
        <f t="shared" si="0"/>
        <v>So</v>
      </c>
      <c r="C14" s="724">
        <f t="shared" si="1"/>
        <v>0.125</v>
      </c>
      <c r="D14" s="1079">
        <f t="shared" si="2"/>
        <v>0</v>
      </c>
      <c r="E14" s="724">
        <v>0.29166666666666669</v>
      </c>
      <c r="F14" s="724"/>
      <c r="G14" s="724">
        <v>0.41666666666666669</v>
      </c>
      <c r="H14" s="654"/>
      <c r="I14" s="657"/>
      <c r="J14" s="654"/>
      <c r="K14" s="657"/>
      <c r="L14" s="654"/>
      <c r="M14" s="657"/>
      <c r="N14" s="714"/>
      <c r="O14" s="1083">
        <f>(O16*24.55)</f>
        <v>14730</v>
      </c>
      <c r="P14" s="1088">
        <f>(P16*24.55)</f>
        <v>14730</v>
      </c>
      <c r="Q14" s="923" t="s">
        <v>458</v>
      </c>
      <c r="R14" s="1004">
        <f>P14+P22-P18</f>
        <v>11984</v>
      </c>
      <c r="S14" s="1007"/>
      <c r="T14" s="923" t="s">
        <v>462</v>
      </c>
      <c r="U14" s="1004">
        <f>P14+P22</f>
        <v>15680</v>
      </c>
      <c r="V14" s="642">
        <f t="shared" si="4"/>
        <v>6</v>
      </c>
    </row>
    <row r="15" spans="1:22" x14ac:dyDescent="0.25">
      <c r="A15" s="1080">
        <v>44787</v>
      </c>
      <c r="B15" s="657" t="str">
        <f t="shared" si="0"/>
        <v>Ne</v>
      </c>
      <c r="C15" s="724">
        <f t="shared" si="1"/>
        <v>0</v>
      </c>
      <c r="D15" s="1079">
        <f t="shared" si="2"/>
        <v>0</v>
      </c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654" t="s">
        <v>29</v>
      </c>
      <c r="P15" s="1026" t="s">
        <v>29</v>
      </c>
      <c r="Q15" s="1001" t="s">
        <v>459</v>
      </c>
      <c r="R15" s="1002">
        <f>P10</f>
        <v>71630</v>
      </c>
      <c r="S15" s="1008"/>
      <c r="T15" s="1001" t="s">
        <v>463</v>
      </c>
      <c r="U15" s="1002">
        <f>P10+P18+P20+O28</f>
        <v>107653</v>
      </c>
      <c r="V15" s="642">
        <f t="shared" si="4"/>
        <v>7</v>
      </c>
    </row>
    <row r="16" spans="1:22" x14ac:dyDescent="0.25">
      <c r="A16" s="1080">
        <v>44788</v>
      </c>
      <c r="B16" s="657" t="str">
        <f t="shared" si="0"/>
        <v>Po</v>
      </c>
      <c r="C16" s="724">
        <f t="shared" si="1"/>
        <v>0.45833333333333326</v>
      </c>
      <c r="D16" s="1079">
        <f t="shared" si="2"/>
        <v>0</v>
      </c>
      <c r="E16" s="724">
        <v>0.29166666666666669</v>
      </c>
      <c r="F16" s="724">
        <v>4.1666666666666664E-2</v>
      </c>
      <c r="G16" s="724">
        <v>0.79166666666666663</v>
      </c>
      <c r="H16" s="654"/>
      <c r="I16" s="657"/>
      <c r="J16" s="654"/>
      <c r="K16" s="657"/>
      <c r="L16" s="654"/>
      <c r="M16" s="657"/>
      <c r="N16" s="714"/>
      <c r="O16" s="1084">
        <v>600</v>
      </c>
      <c r="P16" s="1089">
        <v>600</v>
      </c>
      <c r="Q16" s="1001"/>
      <c r="R16" s="1003">
        <f>R15-R14</f>
        <v>59646</v>
      </c>
      <c r="S16" s="1008"/>
      <c r="T16" s="1001" t="s">
        <v>513</v>
      </c>
      <c r="U16" s="1002">
        <f>U15-U14</f>
        <v>91973</v>
      </c>
      <c r="V16" s="642">
        <f t="shared" si="4"/>
        <v>1</v>
      </c>
    </row>
    <row r="17" spans="1:22" x14ac:dyDescent="0.25">
      <c r="A17" s="1080">
        <v>44789</v>
      </c>
      <c r="B17" s="657" t="str">
        <f t="shared" si="0"/>
        <v>Út</v>
      </c>
      <c r="C17" s="724">
        <f t="shared" si="1"/>
        <v>0.45833333333333326</v>
      </c>
      <c r="D17" s="1079">
        <f t="shared" si="2"/>
        <v>0</v>
      </c>
      <c r="E17" s="724">
        <v>0.29166666666666669</v>
      </c>
      <c r="F17" s="724">
        <f>TIME(1,0,0)</f>
        <v>4.1666666666666664E-2</v>
      </c>
      <c r="G17" s="724">
        <v>0.79166666666666663</v>
      </c>
      <c r="H17" s="654"/>
      <c r="I17" s="657"/>
      <c r="J17" s="654"/>
      <c r="K17" s="657"/>
      <c r="L17" s="654"/>
      <c r="M17" s="657"/>
      <c r="N17" s="714"/>
      <c r="O17" s="654" t="s">
        <v>31</v>
      </c>
      <c r="P17" s="1026" t="s">
        <v>31</v>
      </c>
      <c r="Q17" s="1002">
        <f>R16-Q5-Q7</f>
        <v>9646</v>
      </c>
      <c r="R17" s="1001"/>
      <c r="S17" s="1009"/>
      <c r="T17" s="1001" t="s">
        <v>514</v>
      </c>
      <c r="U17" s="1002">
        <f>U16-Q5-Q7</f>
        <v>41973</v>
      </c>
      <c r="V17" s="642">
        <f t="shared" si="4"/>
        <v>2</v>
      </c>
    </row>
    <row r="18" spans="1:22" x14ac:dyDescent="0.25">
      <c r="A18" s="1080">
        <v>44790</v>
      </c>
      <c r="B18" s="657" t="str">
        <f t="shared" si="0"/>
        <v>St</v>
      </c>
      <c r="C18" s="724">
        <f t="shared" si="1"/>
        <v>0.45833333333333326</v>
      </c>
      <c r="D18" s="1079">
        <f t="shared" si="2"/>
        <v>0</v>
      </c>
      <c r="E18" s="724">
        <v>0.29166666666666669</v>
      </c>
      <c r="F18" s="724">
        <f>TIME(1,0,0)</f>
        <v>4.1666666666666664E-2</v>
      </c>
      <c r="G18" s="724">
        <v>0.79166666666666663</v>
      </c>
      <c r="H18" s="654"/>
      <c r="I18" s="657"/>
      <c r="J18" s="654"/>
      <c r="K18" s="657"/>
      <c r="L18" s="654"/>
      <c r="M18" s="657"/>
      <c r="N18" s="714"/>
      <c r="O18" s="1083">
        <v>3696</v>
      </c>
      <c r="P18" s="1088">
        <v>3696</v>
      </c>
      <c r="Q18" s="1001"/>
      <c r="R18" s="1001"/>
      <c r="S18" s="1008"/>
      <c r="T18" s="1001"/>
      <c r="U18" s="1001"/>
      <c r="V18" s="642">
        <f t="shared" si="4"/>
        <v>3</v>
      </c>
    </row>
    <row r="19" spans="1:22" x14ac:dyDescent="0.25">
      <c r="A19" s="1080">
        <v>44791</v>
      </c>
      <c r="B19" s="657" t="str">
        <f t="shared" si="0"/>
        <v>Čt</v>
      </c>
      <c r="C19" s="724">
        <f t="shared" si="1"/>
        <v>0.45833333333333326</v>
      </c>
      <c r="D19" s="1079">
        <f t="shared" si="2"/>
        <v>0</v>
      </c>
      <c r="E19" s="724">
        <v>0.29166666666666669</v>
      </c>
      <c r="F19" s="724">
        <v>4.1666666666666664E-2</v>
      </c>
      <c r="G19" s="724">
        <v>0.79166666666666663</v>
      </c>
      <c r="H19" s="654"/>
      <c r="I19" s="657"/>
      <c r="J19" s="654"/>
      <c r="K19" s="657"/>
      <c r="L19" s="654"/>
      <c r="M19" s="657"/>
      <c r="N19" s="714"/>
      <c r="O19" s="1083" t="s">
        <v>33</v>
      </c>
      <c r="P19" s="1088" t="s">
        <v>33</v>
      </c>
      <c r="Q19" s="1001"/>
      <c r="R19" s="1001"/>
      <c r="S19" s="1008"/>
      <c r="T19" s="1001"/>
      <c r="U19" s="1001"/>
      <c r="V19" s="642">
        <f t="shared" si="4"/>
        <v>4</v>
      </c>
    </row>
    <row r="20" spans="1:22" x14ac:dyDescent="0.25">
      <c r="A20" s="1080">
        <v>44792</v>
      </c>
      <c r="B20" s="657" t="str">
        <f t="shared" si="0"/>
        <v>Pá</v>
      </c>
      <c r="C20" s="724">
        <f t="shared" si="1"/>
        <v>0.45833333333333326</v>
      </c>
      <c r="D20" s="1079">
        <f t="shared" si="2"/>
        <v>0</v>
      </c>
      <c r="E20" s="724">
        <v>0.29166666666666669</v>
      </c>
      <c r="F20" s="724">
        <v>4.1666666666666664E-2</v>
      </c>
      <c r="G20" s="724">
        <v>0.79166666666666663</v>
      </c>
      <c r="H20" s="654"/>
      <c r="I20" s="657"/>
      <c r="J20" s="654"/>
      <c r="K20" s="657"/>
      <c r="L20" s="654"/>
      <c r="M20" s="657"/>
      <c r="N20" s="714"/>
      <c r="O20" s="1083">
        <v>0</v>
      </c>
      <c r="P20" s="1088">
        <v>0</v>
      </c>
      <c r="Q20" s="1001"/>
      <c r="R20" s="1001"/>
      <c r="S20" s="1008"/>
      <c r="T20" s="1001"/>
      <c r="U20" s="1001"/>
      <c r="V20" s="642">
        <f t="shared" si="4"/>
        <v>5</v>
      </c>
    </row>
    <row r="21" spans="1:22" x14ac:dyDescent="0.25">
      <c r="A21" s="1080">
        <v>44793</v>
      </c>
      <c r="B21" s="657" t="str">
        <f t="shared" si="0"/>
        <v>So</v>
      </c>
      <c r="C21" s="724">
        <f t="shared" si="1"/>
        <v>0.20833333333333331</v>
      </c>
      <c r="D21" s="1079">
        <f t="shared" si="2"/>
        <v>0</v>
      </c>
      <c r="E21" s="724">
        <v>0.29166666666666669</v>
      </c>
      <c r="F21" s="724"/>
      <c r="G21" s="724">
        <v>0.5</v>
      </c>
      <c r="H21" s="654"/>
      <c r="I21" s="657"/>
      <c r="J21" s="654"/>
      <c r="K21" s="657"/>
      <c r="L21" s="654"/>
      <c r="M21" s="657"/>
      <c r="N21" s="714"/>
      <c r="O21" s="1083" t="s">
        <v>34</v>
      </c>
      <c r="P21" s="1088" t="s">
        <v>34</v>
      </c>
      <c r="Q21" s="1001"/>
      <c r="R21" s="1001"/>
      <c r="S21" s="1008"/>
      <c r="T21" s="1001"/>
      <c r="U21" s="1001"/>
      <c r="V21" s="642">
        <f t="shared" si="4"/>
        <v>6</v>
      </c>
    </row>
    <row r="22" spans="1:22" x14ac:dyDescent="0.25">
      <c r="A22" s="1080">
        <v>44794</v>
      </c>
      <c r="B22" s="657" t="str">
        <f t="shared" si="0"/>
        <v>Ne</v>
      </c>
      <c r="C22" s="724">
        <f t="shared" si="1"/>
        <v>0</v>
      </c>
      <c r="D22" s="1079">
        <f t="shared" si="2"/>
        <v>0</v>
      </c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>
        <v>950</v>
      </c>
      <c r="P22" s="1088">
        <v>950</v>
      </c>
      <c r="Q22" s="1001"/>
      <c r="R22" s="1017"/>
      <c r="S22" s="718"/>
      <c r="T22" s="1001"/>
      <c r="U22" s="1001"/>
      <c r="V22" s="642">
        <f t="shared" si="4"/>
        <v>7</v>
      </c>
    </row>
    <row r="23" spans="1:22" x14ac:dyDescent="0.25">
      <c r="A23" s="1080">
        <v>44795</v>
      </c>
      <c r="B23" s="657" t="str">
        <f t="shared" si="0"/>
        <v>Po</v>
      </c>
      <c r="C23" s="724">
        <f t="shared" si="1"/>
        <v>0.45833333333333326</v>
      </c>
      <c r="D23" s="1079">
        <f t="shared" si="2"/>
        <v>0</v>
      </c>
      <c r="E23" s="724">
        <v>0.29166666666666669</v>
      </c>
      <c r="F23" s="724">
        <f>TIME(1,0,0)</f>
        <v>4.1666666666666664E-2</v>
      </c>
      <c r="G23" s="724">
        <v>0.79166666666666663</v>
      </c>
      <c r="H23" s="654"/>
      <c r="I23" s="657"/>
      <c r="J23" s="654"/>
      <c r="K23" s="657"/>
      <c r="L23" s="654"/>
      <c r="M23" s="657"/>
      <c r="N23" s="714"/>
      <c r="O23" s="1085" t="s">
        <v>364</v>
      </c>
      <c r="P23" s="1090" t="s">
        <v>363</v>
      </c>
      <c r="Q23" s="1015">
        <f>Q17-P24</f>
        <v>-11009</v>
      </c>
      <c r="R23" s="1018"/>
      <c r="S23" s="1015">
        <f>U17-O26</f>
        <v>-11009</v>
      </c>
      <c r="T23" s="1001"/>
      <c r="U23" s="1001"/>
      <c r="V23" s="642">
        <f t="shared" si="4"/>
        <v>1</v>
      </c>
    </row>
    <row r="24" spans="1:22" x14ac:dyDescent="0.25">
      <c r="A24" s="1080">
        <v>44796</v>
      </c>
      <c r="B24" s="657" t="str">
        <f t="shared" si="0"/>
        <v>Út</v>
      </c>
      <c r="C24" s="724">
        <f t="shared" si="1"/>
        <v>0.45833333333333326</v>
      </c>
      <c r="D24" s="1079">
        <f t="shared" si="2"/>
        <v>0</v>
      </c>
      <c r="E24" s="724">
        <v>0.29166666666666669</v>
      </c>
      <c r="F24" s="724">
        <v>4.1666666666666664E-2</v>
      </c>
      <c r="G24" s="724">
        <v>0.79166666666666663</v>
      </c>
      <c r="H24" s="654"/>
      <c r="I24" s="657"/>
      <c r="J24" s="654"/>
      <c r="K24" s="657"/>
      <c r="L24" s="654"/>
      <c r="M24" s="657"/>
      <c r="N24" s="714"/>
      <c r="O24" s="1086">
        <f>P12-Q5</f>
        <v>38991</v>
      </c>
      <c r="P24" s="1088">
        <f>O26-O28</f>
        <v>20655</v>
      </c>
      <c r="Q24" s="1020"/>
      <c r="R24" s="1019"/>
      <c r="S24" s="1006"/>
      <c r="T24" s="1006"/>
      <c r="U24" s="1006"/>
      <c r="V24" s="642">
        <f t="shared" si="4"/>
        <v>2</v>
      </c>
    </row>
    <row r="25" spans="1:22" x14ac:dyDescent="0.25">
      <c r="A25" s="1080">
        <v>44797</v>
      </c>
      <c r="B25" s="657" t="str">
        <f t="shared" si="0"/>
        <v>St</v>
      </c>
      <c r="C25" s="724">
        <f t="shared" si="1"/>
        <v>0.45833333333333326</v>
      </c>
      <c r="D25" s="1079">
        <f t="shared" si="2"/>
        <v>0</v>
      </c>
      <c r="E25" s="724">
        <v>0.29166666666666669</v>
      </c>
      <c r="F25" s="724">
        <v>4.1666666666666664E-2</v>
      </c>
      <c r="G25" s="724">
        <v>0.79166666666666663</v>
      </c>
      <c r="H25" s="654"/>
      <c r="I25" s="657"/>
      <c r="J25" s="654"/>
      <c r="K25" s="657"/>
      <c r="L25" s="654"/>
      <c r="M25" s="657"/>
      <c r="N25" s="714"/>
      <c r="O25" s="654" t="s">
        <v>372</v>
      </c>
      <c r="P25" s="1026"/>
      <c r="Q25" s="718"/>
      <c r="R25" s="718"/>
      <c r="S25" s="718"/>
      <c r="T25" s="718"/>
      <c r="U25" s="718"/>
      <c r="V25" s="642">
        <f t="shared" si="4"/>
        <v>3</v>
      </c>
    </row>
    <row r="26" spans="1:22" x14ac:dyDescent="0.25">
      <c r="A26" s="1080">
        <v>44798</v>
      </c>
      <c r="B26" s="657" t="str">
        <f t="shared" si="0"/>
        <v>Čt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1083">
        <v>52982</v>
      </c>
      <c r="P26" s="1088"/>
      <c r="Q26" s="718"/>
      <c r="R26" s="718"/>
      <c r="S26" s="718"/>
      <c r="T26" s="718"/>
      <c r="U26" s="718"/>
      <c r="V26" s="642">
        <f t="shared" si="4"/>
        <v>4</v>
      </c>
    </row>
    <row r="27" spans="1:22" x14ac:dyDescent="0.25">
      <c r="A27" s="1080">
        <v>44799</v>
      </c>
      <c r="B27" s="657" t="str">
        <f t="shared" si="0"/>
        <v>Pá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654" t="s">
        <v>373</v>
      </c>
      <c r="P27" s="1026"/>
      <c r="Q27" s="718"/>
      <c r="R27" s="718"/>
      <c r="S27" s="718"/>
      <c r="T27" s="718"/>
      <c r="U27" s="718"/>
      <c r="V27" s="642">
        <f t="shared" si="4"/>
        <v>5</v>
      </c>
    </row>
    <row r="28" spans="1:22" x14ac:dyDescent="0.25">
      <c r="A28" s="1080">
        <v>44800</v>
      </c>
      <c r="B28" s="657" t="str">
        <f t="shared" si="0"/>
        <v>So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1095">
        <f>'07hod22'!O26</f>
        <v>32327</v>
      </c>
      <c r="P28" s="1026"/>
      <c r="Q28" s="718"/>
      <c r="R28" s="718"/>
      <c r="S28" s="718"/>
      <c r="T28" s="718"/>
      <c r="U28" s="718"/>
      <c r="V28" s="642">
        <f t="shared" si="4"/>
        <v>6</v>
      </c>
    </row>
    <row r="29" spans="1:22" x14ac:dyDescent="0.25">
      <c r="A29" s="1080">
        <v>44801</v>
      </c>
      <c r="B29" s="657" t="str">
        <f t="shared" si="0"/>
        <v>Ne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/>
      <c r="P29" s="1083"/>
      <c r="Q29" s="718"/>
      <c r="R29" s="718"/>
      <c r="S29" s="718"/>
      <c r="T29" s="718"/>
      <c r="U29" s="718"/>
      <c r="V29" s="642">
        <f t="shared" si="4"/>
        <v>7</v>
      </c>
    </row>
    <row r="30" spans="1:22" x14ac:dyDescent="0.25">
      <c r="A30" s="1080">
        <v>44802</v>
      </c>
      <c r="B30" s="657" t="str">
        <f t="shared" si="0"/>
        <v>Po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918"/>
      <c r="P30" s="1091"/>
      <c r="Q30" s="718"/>
      <c r="R30" s="718"/>
      <c r="S30" s="718"/>
      <c r="T30" s="718"/>
      <c r="U30" s="718"/>
      <c r="V30" s="642">
        <f t="shared" si="4"/>
        <v>1</v>
      </c>
    </row>
    <row r="31" spans="1:22" x14ac:dyDescent="0.25">
      <c r="A31" s="1080">
        <v>44803</v>
      </c>
      <c r="B31" s="657" t="str">
        <f t="shared" si="0"/>
        <v>Út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654"/>
      <c r="P31" s="1026"/>
      <c r="Q31" s="718"/>
      <c r="R31" s="718"/>
      <c r="S31" s="718"/>
      <c r="T31" s="718"/>
      <c r="U31" s="718"/>
      <c r="V31" s="642">
        <f t="shared" si="4"/>
        <v>2</v>
      </c>
    </row>
    <row r="32" spans="1:22" x14ac:dyDescent="0.25">
      <c r="A32" s="1080">
        <v>44804</v>
      </c>
      <c r="B32" s="657" t="str">
        <f t="shared" si="0"/>
        <v>St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718"/>
      <c r="R32" s="718"/>
      <c r="S32" s="718"/>
      <c r="T32" s="718"/>
      <c r="U32" s="718"/>
      <c r="V32" s="642">
        <f t="shared" si="4"/>
        <v>3</v>
      </c>
    </row>
    <row r="33" spans="1:22" x14ac:dyDescent="0.25">
      <c r="A33" s="1080">
        <v>44805</v>
      </c>
      <c r="B33" s="657" t="str">
        <f t="shared" si="0"/>
        <v>Čt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718"/>
      <c r="R33" s="718"/>
      <c r="S33" s="718"/>
      <c r="T33" s="718"/>
      <c r="U33" s="718"/>
      <c r="V33" s="642">
        <f>WEEKDAY(A33,2)</f>
        <v>4</v>
      </c>
    </row>
    <row r="34" spans="1:22" x14ac:dyDescent="0.25">
      <c r="A34" s="1080">
        <v>44806</v>
      </c>
      <c r="B34" s="657" t="str">
        <f t="shared" si="0"/>
        <v>Pá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718"/>
      <c r="R34" s="718"/>
      <c r="S34" s="718"/>
      <c r="T34" s="718"/>
      <c r="U34" s="718"/>
      <c r="V34" s="642">
        <f t="shared" ref="V34:V35" si="5">WEEKDAY(A34,2)</f>
        <v>5</v>
      </c>
    </row>
    <row r="35" spans="1:22" ht="15.75" thickBot="1" x14ac:dyDescent="0.3">
      <c r="A35" s="1080">
        <v>44807</v>
      </c>
      <c r="B35" s="658" t="str">
        <f t="shared" si="0"/>
        <v>So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8"/>
      <c r="L35" s="654"/>
      <c r="M35" s="658"/>
      <c r="N35" s="1087"/>
      <c r="O35" s="655"/>
      <c r="P35" s="1027"/>
      <c r="Q35" s="718"/>
      <c r="R35" s="718"/>
      <c r="S35" s="718"/>
      <c r="T35" s="718"/>
      <c r="U35" s="718"/>
      <c r="V35" s="642">
        <f t="shared" si="5"/>
        <v>6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SUM(C2:C31)</f>
        <v>8.9166666666666643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4F70C2-ECB4-2C47-BEBE-F283E9CB55DB}">
  <dimension ref="A1:V45"/>
  <sheetViews>
    <sheetView topLeftCell="T7" zoomScaleNormal="60" zoomScaleSheetLayoutView="100" workbookViewId="0">
      <selection activeCell="S13" sqref="S13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1080">
        <v>44805</v>
      </c>
      <c r="B2" s="656" t="str">
        <f t="shared" ref="B2:B35" si="0">CHOOSE(WEEKDAY(V2),"Po","Út","St","Čt","Pá","So","Ne")</f>
        <v>Čt</v>
      </c>
      <c r="C2" s="724">
        <f t="shared" ref="C2:C35" si="1">G2-E2-F2</f>
        <v>0</v>
      </c>
      <c r="D2" s="1079">
        <f t="shared" ref="D2:D35" si="2">(N2*C2)*24</f>
        <v>0</v>
      </c>
      <c r="E2" s="724"/>
      <c r="F2" s="724"/>
      <c r="G2" s="724"/>
      <c r="H2" s="654"/>
      <c r="I2" s="657"/>
      <c r="J2" s="654"/>
      <c r="K2" s="656"/>
      <c r="L2" s="654"/>
      <c r="M2" s="657"/>
      <c r="N2" s="713"/>
      <c r="O2" s="1081">
        <f>(O4+O6)</f>
        <v>161</v>
      </c>
      <c r="P2" s="656">
        <f t="shared" ref="P2" si="3">P4+P6</f>
        <v>161</v>
      </c>
      <c r="Q2" s="1094">
        <f>'08hod22'!Q5</f>
        <v>0</v>
      </c>
      <c r="R2" s="644" t="s">
        <v>17</v>
      </c>
      <c r="S2" s="1092" t="str">
        <f>'08hod22'!S5</f>
        <v>Výplata za Srpen</v>
      </c>
      <c r="T2" s="1093" t="str">
        <f>'08hod22'!T5</f>
        <v>xx.07.2022</v>
      </c>
      <c r="U2" s="722">
        <f>T7*20</f>
        <v>0</v>
      </c>
      <c r="V2" s="642">
        <f t="shared" ref="V2:V32" si="4">WEEKDAY(A2,2)</f>
        <v>4</v>
      </c>
    </row>
    <row r="3" spans="1:22" x14ac:dyDescent="0.25">
      <c r="A3" s="1080">
        <v>44806</v>
      </c>
      <c r="B3" s="657" t="str">
        <f t="shared" si="0"/>
        <v>Pá</v>
      </c>
      <c r="C3" s="724">
        <f t="shared" si="1"/>
        <v>0</v>
      </c>
      <c r="D3" s="1079">
        <f t="shared" si="2"/>
        <v>0</v>
      </c>
      <c r="E3" s="724"/>
      <c r="F3" s="724"/>
      <c r="G3" s="724"/>
      <c r="H3" s="654"/>
      <c r="I3" s="657"/>
      <c r="J3" s="654"/>
      <c r="K3" s="657"/>
      <c r="L3" s="654"/>
      <c r="M3" s="657"/>
      <c r="N3" s="714"/>
      <c r="O3" s="654" t="s">
        <v>19</v>
      </c>
      <c r="P3" s="657" t="s">
        <v>19</v>
      </c>
      <c r="Q3" s="738">
        <v>0</v>
      </c>
      <c r="R3" s="611" t="s">
        <v>48</v>
      </c>
      <c r="S3" s="611" t="s">
        <v>48</v>
      </c>
      <c r="T3" s="874">
        <v>1</v>
      </c>
      <c r="U3" s="718"/>
      <c r="V3" s="642">
        <f t="shared" si="4"/>
        <v>5</v>
      </c>
    </row>
    <row r="4" spans="1:22" x14ac:dyDescent="0.25">
      <c r="A4" s="1080">
        <v>44807</v>
      </c>
      <c r="B4" s="657" t="str">
        <f t="shared" si="0"/>
        <v>So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1082">
        <v>161</v>
      </c>
      <c r="P4" s="657">
        <v>161</v>
      </c>
      <c r="Q4" s="738">
        <v>37468</v>
      </c>
      <c r="R4" s="611" t="s">
        <v>17</v>
      </c>
      <c r="S4" s="611" t="s">
        <v>560</v>
      </c>
      <c r="T4" s="646"/>
      <c r="U4" s="718"/>
      <c r="V4" s="642">
        <f t="shared" si="4"/>
        <v>6</v>
      </c>
    </row>
    <row r="5" spans="1:22" x14ac:dyDescent="0.25">
      <c r="A5" s="1080">
        <v>44808</v>
      </c>
      <c r="B5" s="657" t="str">
        <f t="shared" si="0"/>
        <v>Ne</v>
      </c>
      <c r="C5" s="724">
        <f t="shared" si="1"/>
        <v>0</v>
      </c>
      <c r="D5" s="1079">
        <f t="shared" si="2"/>
        <v>0</v>
      </c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654" t="s">
        <v>14</v>
      </c>
      <c r="P5" s="657" t="s">
        <v>574</v>
      </c>
      <c r="Q5" s="738">
        <v>0</v>
      </c>
      <c r="R5" s="611" t="s">
        <v>17</v>
      </c>
      <c r="S5" s="611" t="s">
        <v>425</v>
      </c>
      <c r="T5" s="646" t="s">
        <v>508</v>
      </c>
      <c r="U5" s="718"/>
      <c r="V5" s="642">
        <f t="shared" si="4"/>
        <v>7</v>
      </c>
    </row>
    <row r="6" spans="1:22" ht="15.75" thickBot="1" x14ac:dyDescent="0.3">
      <c r="A6" s="1080">
        <v>44809</v>
      </c>
      <c r="B6" s="657" t="str">
        <f t="shared" si="0"/>
        <v>Po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1082">
        <f>O41*24</f>
        <v>0</v>
      </c>
      <c r="P6" s="657">
        <v>0</v>
      </c>
      <c r="Q6" s="712" t="s">
        <v>134</v>
      </c>
      <c r="R6" s="647"/>
      <c r="S6" s="647" t="s">
        <v>48</v>
      </c>
      <c r="T6" s="648"/>
      <c r="U6" s="718"/>
      <c r="V6" s="642">
        <f t="shared" si="4"/>
        <v>1</v>
      </c>
    </row>
    <row r="7" spans="1:22" x14ac:dyDescent="0.25">
      <c r="A7" s="1080">
        <v>44810</v>
      </c>
      <c r="B7" s="657" t="str">
        <f t="shared" si="0"/>
        <v>Út</v>
      </c>
      <c r="C7" s="724">
        <f t="shared" si="1"/>
        <v>0</v>
      </c>
      <c r="D7" s="1079">
        <f t="shared" si="2"/>
        <v>0</v>
      </c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654" t="s">
        <v>20</v>
      </c>
      <c r="P7" s="1026" t="s">
        <v>20</v>
      </c>
      <c r="Q7" s="721">
        <f>Q3+Q4</f>
        <v>37468</v>
      </c>
      <c r="R7" s="718"/>
      <c r="S7" s="718"/>
      <c r="T7" s="718"/>
      <c r="U7" s="718"/>
      <c r="V7" s="642">
        <f t="shared" si="4"/>
        <v>2</v>
      </c>
    </row>
    <row r="8" spans="1:22" x14ac:dyDescent="0.25">
      <c r="A8" s="1080">
        <v>44811</v>
      </c>
      <c r="B8" s="657" t="str">
        <f t="shared" si="0"/>
        <v>St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509</v>
      </c>
      <c r="P8" s="1026" t="s">
        <v>509</v>
      </c>
      <c r="Q8" s="657" t="s">
        <v>229</v>
      </c>
      <c r="R8" s="718"/>
      <c r="S8" s="718"/>
      <c r="T8" s="718"/>
      <c r="U8" s="718"/>
      <c r="V8" s="642">
        <f t="shared" si="4"/>
        <v>3</v>
      </c>
    </row>
    <row r="9" spans="1:22" x14ac:dyDescent="0.25">
      <c r="A9" s="1080">
        <v>44812</v>
      </c>
      <c r="B9" s="657" t="str">
        <f t="shared" si="0"/>
        <v>Čt</v>
      </c>
      <c r="C9" s="724">
        <f t="shared" si="1"/>
        <v>0</v>
      </c>
      <c r="D9" s="1079">
        <f t="shared" si="2"/>
        <v>0</v>
      </c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23</v>
      </c>
      <c r="P9" s="1026" t="s">
        <v>23</v>
      </c>
      <c r="Q9" s="657">
        <f>SUM(Q2:Q4)</f>
        <v>37468</v>
      </c>
      <c r="R9" s="718"/>
      <c r="S9" s="718"/>
      <c r="T9" s="718"/>
      <c r="U9" s="718"/>
      <c r="V9" s="642">
        <f t="shared" si="4"/>
        <v>4</v>
      </c>
    </row>
    <row r="10" spans="1:22" x14ac:dyDescent="0.25">
      <c r="A10" s="1080">
        <v>44813</v>
      </c>
      <c r="B10" s="657" t="str">
        <f t="shared" si="0"/>
        <v>Pá</v>
      </c>
      <c r="C10" s="724">
        <f t="shared" si="1"/>
        <v>0</v>
      </c>
      <c r="D10" s="1079">
        <f t="shared" si="2"/>
        <v>0</v>
      </c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1083">
        <f>(O2*380)+U2</f>
        <v>61180</v>
      </c>
      <c r="P10" s="1088">
        <f>SUM(P2*380)</f>
        <v>61180</v>
      </c>
      <c r="Q10" s="719"/>
      <c r="R10" s="718"/>
      <c r="S10" s="718"/>
      <c r="T10" s="718"/>
      <c r="U10" s="718"/>
      <c r="V10" s="642">
        <f t="shared" si="4"/>
        <v>5</v>
      </c>
    </row>
    <row r="11" spans="1:22" x14ac:dyDescent="0.25">
      <c r="A11" s="1080">
        <v>44814</v>
      </c>
      <c r="B11" s="657" t="str">
        <f t="shared" si="0"/>
        <v>So</v>
      </c>
      <c r="C11" s="724">
        <f t="shared" si="1"/>
        <v>0</v>
      </c>
      <c r="D11" s="1079">
        <f t="shared" si="2"/>
        <v>0</v>
      </c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654" t="s">
        <v>361</v>
      </c>
      <c r="P11" s="1026" t="s">
        <v>361</v>
      </c>
      <c r="Q11" s="718"/>
      <c r="R11" s="718"/>
      <c r="S11" s="718"/>
      <c r="T11" s="718"/>
      <c r="U11" s="718"/>
      <c r="V11" s="642">
        <f t="shared" si="4"/>
        <v>6</v>
      </c>
    </row>
    <row r="12" spans="1:22" x14ac:dyDescent="0.25">
      <c r="A12" s="1080">
        <v>44815</v>
      </c>
      <c r="B12" s="657" t="str">
        <f t="shared" si="0"/>
        <v>Ne</v>
      </c>
      <c r="C12" s="724">
        <f>G12-E12-F12</f>
        <v>0</v>
      </c>
      <c r="D12" s="1079">
        <f t="shared" si="2"/>
        <v>0</v>
      </c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1083">
        <f>(O10+O20+O18-O22)-O14-P24</f>
        <v>22589.147999999997</v>
      </c>
      <c r="P12" s="1088">
        <f>(P10+P18+P20-P22)-P14-P24</f>
        <v>22589.147999999997</v>
      </c>
      <c r="Q12" s="718"/>
      <c r="R12" s="718"/>
      <c r="S12" s="718"/>
      <c r="T12" s="718"/>
      <c r="U12" s="718"/>
      <c r="V12" s="642">
        <f t="shared" si="4"/>
        <v>7</v>
      </c>
    </row>
    <row r="13" spans="1:22" x14ac:dyDescent="0.25">
      <c r="A13" s="1080">
        <v>44816</v>
      </c>
      <c r="B13" s="657" t="str">
        <f t="shared" si="0"/>
        <v>Po</v>
      </c>
      <c r="C13" s="724">
        <f t="shared" si="1"/>
        <v>0</v>
      </c>
      <c r="D13" s="1079">
        <f t="shared" si="2"/>
        <v>0</v>
      </c>
      <c r="E13" s="724"/>
      <c r="F13" s="724"/>
      <c r="G13" s="724"/>
      <c r="H13" s="654"/>
      <c r="I13" s="657"/>
      <c r="J13" s="654"/>
      <c r="K13" s="657"/>
      <c r="L13" s="654"/>
      <c r="M13" s="657"/>
      <c r="N13" s="714"/>
      <c r="O13" s="654" t="s">
        <v>26</v>
      </c>
      <c r="P13" s="1088" t="s">
        <v>26</v>
      </c>
      <c r="Q13" s="718"/>
      <c r="R13" s="718"/>
      <c r="S13" s="718"/>
      <c r="T13" s="718"/>
      <c r="U13" s="718"/>
      <c r="V13" s="642">
        <f t="shared" si="4"/>
        <v>1</v>
      </c>
    </row>
    <row r="14" spans="1:22" x14ac:dyDescent="0.25">
      <c r="A14" s="1080">
        <v>44817</v>
      </c>
      <c r="B14" s="657" t="str">
        <f t="shared" si="0"/>
        <v>Út</v>
      </c>
      <c r="C14" s="724">
        <f t="shared" si="1"/>
        <v>0</v>
      </c>
      <c r="D14" s="1079">
        <f t="shared" si="2"/>
        <v>0</v>
      </c>
      <c r="E14" s="724"/>
      <c r="F14" s="724"/>
      <c r="G14" s="724"/>
      <c r="H14" s="654"/>
      <c r="I14" s="657"/>
      <c r="J14" s="654"/>
      <c r="K14" s="657"/>
      <c r="L14" s="654"/>
      <c r="M14" s="657"/>
      <c r="N14" s="714"/>
      <c r="O14" s="1083">
        <f>(O16*24.55)</f>
        <v>20411.852000000003</v>
      </c>
      <c r="P14" s="1088">
        <f>(P16*24.55)</f>
        <v>20411.852000000003</v>
      </c>
      <c r="Q14" s="923" t="s">
        <v>458</v>
      </c>
      <c r="R14" s="1004">
        <f>P14+P22-P18-P20</f>
        <v>28671.851999999999</v>
      </c>
      <c r="S14" s="1007"/>
      <c r="T14" s="923" t="s">
        <v>462</v>
      </c>
      <c r="U14" s="1004">
        <f>P14+P22</f>
        <v>35925.851999999999</v>
      </c>
      <c r="V14" s="642">
        <f t="shared" si="4"/>
        <v>2</v>
      </c>
    </row>
    <row r="15" spans="1:22" x14ac:dyDescent="0.25">
      <c r="A15" s="1080">
        <v>44818</v>
      </c>
      <c r="B15" s="657" t="str">
        <f t="shared" si="0"/>
        <v>St</v>
      </c>
      <c r="C15" s="724">
        <f t="shared" si="1"/>
        <v>0</v>
      </c>
      <c r="D15" s="1079">
        <f t="shared" si="2"/>
        <v>0</v>
      </c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654" t="s">
        <v>29</v>
      </c>
      <c r="P15" s="1026" t="s">
        <v>29</v>
      </c>
      <c r="Q15" s="1001" t="s">
        <v>459</v>
      </c>
      <c r="R15" s="1002">
        <f>P10</f>
        <v>61180</v>
      </c>
      <c r="S15" s="1008"/>
      <c r="T15" s="1001" t="s">
        <v>463</v>
      </c>
      <c r="U15" s="1002">
        <f>P10+P18+P20+O28</f>
        <v>121416</v>
      </c>
      <c r="V15" s="642">
        <f t="shared" si="4"/>
        <v>3</v>
      </c>
    </row>
    <row r="16" spans="1:22" x14ac:dyDescent="0.25">
      <c r="A16" s="1080">
        <v>44819</v>
      </c>
      <c r="B16" s="657" t="str">
        <f t="shared" si="0"/>
        <v>Čt</v>
      </c>
      <c r="C16" s="724">
        <f t="shared" si="1"/>
        <v>0</v>
      </c>
      <c r="D16" s="1079">
        <f t="shared" si="2"/>
        <v>0</v>
      </c>
      <c r="E16" s="724"/>
      <c r="F16" s="724"/>
      <c r="G16" s="724"/>
      <c r="H16" s="654"/>
      <c r="I16" s="657"/>
      <c r="J16" s="654"/>
      <c r="K16" s="657"/>
      <c r="L16" s="654"/>
      <c r="M16" s="657"/>
      <c r="N16" s="714"/>
      <c r="O16" s="1084">
        <v>831.44</v>
      </c>
      <c r="P16" s="1089">
        <v>831.44</v>
      </c>
      <c r="Q16" s="1001"/>
      <c r="R16" s="1003">
        <f>R15-R14</f>
        <v>32508.148000000001</v>
      </c>
      <c r="S16" s="1008"/>
      <c r="T16" s="1001" t="s">
        <v>513</v>
      </c>
      <c r="U16" s="1002">
        <f>U15-U14</f>
        <v>85490.148000000001</v>
      </c>
      <c r="V16" s="642">
        <f t="shared" si="4"/>
        <v>4</v>
      </c>
    </row>
    <row r="17" spans="1:22" x14ac:dyDescent="0.25">
      <c r="A17" s="1080">
        <v>44820</v>
      </c>
      <c r="B17" s="657" t="str">
        <f t="shared" si="0"/>
        <v>Pá</v>
      </c>
      <c r="C17" s="724">
        <f t="shared" si="1"/>
        <v>0</v>
      </c>
      <c r="D17" s="1079">
        <f t="shared" si="2"/>
        <v>0</v>
      </c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654" t="s">
        <v>31</v>
      </c>
      <c r="P17" s="1026" t="s">
        <v>31</v>
      </c>
      <c r="Q17" s="1002">
        <f>R16-Q5-Q7</f>
        <v>-4959.851999999999</v>
      </c>
      <c r="R17" s="1001"/>
      <c r="S17" s="1009"/>
      <c r="T17" s="1001" t="s">
        <v>514</v>
      </c>
      <c r="U17" s="1002">
        <f>U16-Q5-Q7</f>
        <v>48022.148000000001</v>
      </c>
      <c r="V17" s="642">
        <f t="shared" si="4"/>
        <v>5</v>
      </c>
    </row>
    <row r="18" spans="1:22" x14ac:dyDescent="0.25">
      <c r="A18" s="1080">
        <v>44821</v>
      </c>
      <c r="B18" s="657" t="str">
        <f t="shared" si="0"/>
        <v>So</v>
      </c>
      <c r="C18" s="724">
        <f t="shared" si="1"/>
        <v>0</v>
      </c>
      <c r="D18" s="1079">
        <f t="shared" si="2"/>
        <v>0</v>
      </c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1083"/>
      <c r="P18" s="1088"/>
      <c r="Q18" s="1001"/>
      <c r="R18" s="1001"/>
      <c r="S18" s="1008"/>
      <c r="T18" s="1001"/>
      <c r="U18" s="1001"/>
      <c r="V18" s="642">
        <f t="shared" si="4"/>
        <v>6</v>
      </c>
    </row>
    <row r="19" spans="1:22" x14ac:dyDescent="0.25">
      <c r="A19" s="1080">
        <v>44822</v>
      </c>
      <c r="B19" s="657" t="str">
        <f t="shared" si="0"/>
        <v>Ne</v>
      </c>
      <c r="C19" s="724">
        <f t="shared" si="1"/>
        <v>0</v>
      </c>
      <c r="D19" s="1079">
        <f t="shared" si="2"/>
        <v>0</v>
      </c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 t="s">
        <v>33</v>
      </c>
      <c r="P19" s="1088" t="s">
        <v>33</v>
      </c>
      <c r="Q19" s="1001"/>
      <c r="R19" s="1001"/>
      <c r="S19" s="1008"/>
      <c r="T19" s="1001"/>
      <c r="U19" s="1001"/>
      <c r="V19" s="642">
        <f t="shared" si="4"/>
        <v>7</v>
      </c>
    </row>
    <row r="20" spans="1:22" x14ac:dyDescent="0.25">
      <c r="A20" s="1080">
        <v>44823</v>
      </c>
      <c r="B20" s="657" t="str">
        <f t="shared" si="0"/>
        <v>Po</v>
      </c>
      <c r="C20" s="724">
        <f t="shared" si="1"/>
        <v>0</v>
      </c>
      <c r="D20" s="1079">
        <f t="shared" si="2"/>
        <v>0</v>
      </c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>
        <v>7254</v>
      </c>
      <c r="P20" s="1088">
        <v>7254</v>
      </c>
      <c r="Q20" s="1001"/>
      <c r="R20" s="1001"/>
      <c r="S20" s="1008"/>
      <c r="T20" s="1001"/>
      <c r="U20" s="1001"/>
      <c r="V20" s="642">
        <f t="shared" si="4"/>
        <v>1</v>
      </c>
    </row>
    <row r="21" spans="1:22" x14ac:dyDescent="0.25">
      <c r="A21" s="1080">
        <v>44824</v>
      </c>
      <c r="B21" s="657" t="str">
        <f t="shared" si="0"/>
        <v>Út</v>
      </c>
      <c r="C21" s="724">
        <f t="shared" si="1"/>
        <v>0</v>
      </c>
      <c r="D21" s="1079">
        <f t="shared" si="2"/>
        <v>0</v>
      </c>
      <c r="E21" s="724"/>
      <c r="F21" s="724"/>
      <c r="G21" s="724"/>
      <c r="H21" s="654"/>
      <c r="I21" s="657"/>
      <c r="J21" s="654"/>
      <c r="K21" s="657"/>
      <c r="L21" s="654"/>
      <c r="M21" s="657"/>
      <c r="N21" s="714"/>
      <c r="O21" s="1083" t="s">
        <v>34</v>
      </c>
      <c r="P21" s="1088" t="s">
        <v>34</v>
      </c>
      <c r="Q21" s="1001"/>
      <c r="R21" s="1001"/>
      <c r="S21" s="1008"/>
      <c r="T21" s="1001"/>
      <c r="U21" s="1001"/>
      <c r="V21" s="642">
        <f t="shared" si="4"/>
        <v>2</v>
      </c>
    </row>
    <row r="22" spans="1:22" x14ac:dyDescent="0.25">
      <c r="A22" s="1080">
        <v>44825</v>
      </c>
      <c r="B22" s="657" t="str">
        <f t="shared" si="0"/>
        <v>St</v>
      </c>
      <c r="C22" s="724">
        <f t="shared" si="1"/>
        <v>0</v>
      </c>
      <c r="D22" s="1079">
        <f t="shared" si="2"/>
        <v>0</v>
      </c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>
        <v>15514</v>
      </c>
      <c r="P22" s="1088">
        <v>15514</v>
      </c>
      <c r="Q22" s="1001"/>
      <c r="R22" s="1017"/>
      <c r="S22" s="718"/>
      <c r="T22" s="1001"/>
      <c r="U22" s="1001"/>
      <c r="V22" s="642">
        <f t="shared" si="4"/>
        <v>3</v>
      </c>
    </row>
    <row r="23" spans="1:22" x14ac:dyDescent="0.25">
      <c r="A23" s="1080">
        <v>44826</v>
      </c>
      <c r="B23" s="657" t="str">
        <f t="shared" si="0"/>
        <v>Čt</v>
      </c>
      <c r="C23" s="724">
        <f t="shared" si="1"/>
        <v>0</v>
      </c>
      <c r="D23" s="1079">
        <f t="shared" si="2"/>
        <v>0</v>
      </c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5" t="s">
        <v>364</v>
      </c>
      <c r="P23" s="1090" t="s">
        <v>363</v>
      </c>
      <c r="Q23" s="1015">
        <f>Q17-P24</f>
        <v>-14878.851999999999</v>
      </c>
      <c r="R23" s="1018"/>
      <c r="S23" s="1015">
        <f>U17-O26</f>
        <v>-14878.851999999999</v>
      </c>
      <c r="T23" s="1001"/>
      <c r="U23" s="1001"/>
      <c r="V23" s="642">
        <f t="shared" si="4"/>
        <v>4</v>
      </c>
    </row>
    <row r="24" spans="1:22" x14ac:dyDescent="0.25">
      <c r="A24" s="1080">
        <v>44827</v>
      </c>
      <c r="B24" s="657" t="str">
        <f t="shared" si="0"/>
        <v>Pá</v>
      </c>
      <c r="C24" s="724">
        <f t="shared" si="1"/>
        <v>0</v>
      </c>
      <c r="D24" s="1079">
        <f t="shared" si="2"/>
        <v>0</v>
      </c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6">
        <f>P12-Q5</f>
        <v>22589.147999999997</v>
      </c>
      <c r="P24" s="1088">
        <f>O26-O28</f>
        <v>9919</v>
      </c>
      <c r="Q24" s="1020"/>
      <c r="R24" s="1019"/>
      <c r="S24" s="1006"/>
      <c r="T24" s="1006"/>
      <c r="U24" s="1006"/>
      <c r="V24" s="642">
        <f t="shared" si="4"/>
        <v>5</v>
      </c>
    </row>
    <row r="25" spans="1:22" x14ac:dyDescent="0.25">
      <c r="A25" s="1080">
        <v>44828</v>
      </c>
      <c r="B25" s="657" t="str">
        <f t="shared" si="0"/>
        <v>So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654" t="s">
        <v>372</v>
      </c>
      <c r="P25" s="1026"/>
      <c r="Q25" s="718"/>
      <c r="R25" s="718"/>
      <c r="S25" s="718"/>
      <c r="T25" s="718"/>
      <c r="U25" s="718"/>
      <c r="V25" s="642">
        <f t="shared" si="4"/>
        <v>6</v>
      </c>
    </row>
    <row r="26" spans="1:22" x14ac:dyDescent="0.25">
      <c r="A26" s="1080">
        <v>44829</v>
      </c>
      <c r="B26" s="657" t="str">
        <f t="shared" si="0"/>
        <v>Ne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1083">
        <v>62901</v>
      </c>
      <c r="P26" s="1088"/>
      <c r="Q26" s="718"/>
      <c r="R26" s="718"/>
      <c r="S26" s="718"/>
      <c r="T26" s="718"/>
      <c r="U26" s="718"/>
      <c r="V26" s="642">
        <f t="shared" si="4"/>
        <v>7</v>
      </c>
    </row>
    <row r="27" spans="1:22" x14ac:dyDescent="0.25">
      <c r="A27" s="1080">
        <v>44830</v>
      </c>
      <c r="B27" s="657" t="str">
        <f t="shared" si="0"/>
        <v>Po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654" t="s">
        <v>373</v>
      </c>
      <c r="P27" s="1026"/>
      <c r="Q27" s="718"/>
      <c r="R27" s="718"/>
      <c r="S27" s="718"/>
      <c r="T27" s="718"/>
      <c r="U27" s="718"/>
      <c r="V27" s="642">
        <f t="shared" si="4"/>
        <v>1</v>
      </c>
    </row>
    <row r="28" spans="1:22" x14ac:dyDescent="0.25">
      <c r="A28" s="1080">
        <v>44831</v>
      </c>
      <c r="B28" s="657" t="str">
        <f t="shared" si="0"/>
        <v>Út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1095">
        <f>'08hod22'!O26</f>
        <v>52982</v>
      </c>
      <c r="P28" s="1026"/>
      <c r="Q28" s="718"/>
      <c r="R28" s="718"/>
      <c r="S28" s="718"/>
      <c r="T28" s="718"/>
      <c r="U28" s="718"/>
      <c r="V28" s="642">
        <f t="shared" si="4"/>
        <v>2</v>
      </c>
    </row>
    <row r="29" spans="1:22" x14ac:dyDescent="0.25">
      <c r="A29" s="1080">
        <v>44832</v>
      </c>
      <c r="B29" s="657" t="str">
        <f t="shared" si="0"/>
        <v>St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/>
      <c r="P29" s="1083"/>
      <c r="Q29" s="718"/>
      <c r="R29" s="718"/>
      <c r="S29" s="718"/>
      <c r="T29" s="718"/>
      <c r="U29" s="718"/>
      <c r="V29" s="642">
        <f t="shared" si="4"/>
        <v>3</v>
      </c>
    </row>
    <row r="30" spans="1:22" x14ac:dyDescent="0.25">
      <c r="A30" s="1080">
        <v>44833</v>
      </c>
      <c r="B30" s="657" t="str">
        <f t="shared" si="0"/>
        <v>Čt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918"/>
      <c r="P30" s="1091"/>
      <c r="Q30" s="718"/>
      <c r="R30" s="718"/>
      <c r="S30" s="718"/>
      <c r="T30" s="718"/>
      <c r="U30" s="718"/>
      <c r="V30" s="642">
        <f t="shared" si="4"/>
        <v>4</v>
      </c>
    </row>
    <row r="31" spans="1:22" x14ac:dyDescent="0.25">
      <c r="A31" s="1080">
        <v>44834</v>
      </c>
      <c r="B31" s="657" t="str">
        <f t="shared" si="0"/>
        <v>Pá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654"/>
      <c r="P31" s="1026"/>
      <c r="Q31" s="718"/>
      <c r="R31" s="718"/>
      <c r="S31" s="718"/>
      <c r="T31" s="718"/>
      <c r="U31" s="718"/>
      <c r="V31" s="642">
        <f t="shared" si="4"/>
        <v>5</v>
      </c>
    </row>
    <row r="32" spans="1:22" x14ac:dyDescent="0.25">
      <c r="A32" s="1080">
        <v>44835</v>
      </c>
      <c r="B32" s="657" t="str">
        <f t="shared" si="0"/>
        <v>So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718"/>
      <c r="R32" s="718"/>
      <c r="S32" s="718"/>
      <c r="T32" s="718"/>
      <c r="U32" s="718"/>
      <c r="V32" s="642">
        <f t="shared" si="4"/>
        <v>6</v>
      </c>
    </row>
    <row r="33" spans="1:22" x14ac:dyDescent="0.25">
      <c r="A33" s="1080">
        <v>44836</v>
      </c>
      <c r="B33" s="657" t="str">
        <f t="shared" si="0"/>
        <v>Ne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718"/>
      <c r="R33" s="718"/>
      <c r="S33" s="718"/>
      <c r="T33" s="718"/>
      <c r="U33" s="718"/>
      <c r="V33" s="642">
        <f>WEEKDAY(A33,2)</f>
        <v>7</v>
      </c>
    </row>
    <row r="34" spans="1:22" x14ac:dyDescent="0.25">
      <c r="A34" s="1080">
        <v>44837</v>
      </c>
      <c r="B34" s="657" t="str">
        <f t="shared" si="0"/>
        <v>Po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718"/>
      <c r="R34" s="718"/>
      <c r="S34" s="718"/>
      <c r="T34" s="718"/>
      <c r="U34" s="718"/>
      <c r="V34" s="642">
        <f t="shared" ref="V34:V35" si="5">WEEKDAY(A34,2)</f>
        <v>1</v>
      </c>
    </row>
    <row r="35" spans="1:22" ht="15.75" thickBot="1" x14ac:dyDescent="0.3">
      <c r="A35" s="1080">
        <v>44838</v>
      </c>
      <c r="B35" s="658" t="str">
        <f t="shared" si="0"/>
        <v>Út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8"/>
      <c r="L35" s="654"/>
      <c r="M35" s="658"/>
      <c r="N35" s="1087"/>
      <c r="O35" s="655"/>
      <c r="P35" s="1027"/>
      <c r="Q35" s="718"/>
      <c r="R35" s="718"/>
      <c r="S35" s="718"/>
      <c r="T35" s="718"/>
      <c r="U35" s="718"/>
      <c r="V35" s="642">
        <f t="shared" si="5"/>
        <v>2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SUM(C2:C31)</f>
        <v>0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5694C1-5FA1-D240-87A7-6255CF6EFBB6}">
  <dimension ref="A1:V45"/>
  <sheetViews>
    <sheetView topLeftCell="Q4" zoomScaleNormal="60" zoomScaleSheetLayoutView="100" workbookViewId="0">
      <selection activeCell="O16" sqref="O16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7.28515625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1080">
        <v>44835</v>
      </c>
      <c r="B2" s="656" t="str">
        <f t="shared" ref="B2:B35" si="0">CHOOSE(WEEKDAY(V2),"Po","Út","St","Čt","Pá","So","Ne")</f>
        <v>So</v>
      </c>
      <c r="C2" s="724">
        <f t="shared" ref="C2:C35" si="1">G2-E2-F2</f>
        <v>0</v>
      </c>
      <c r="D2" s="1079">
        <f t="shared" ref="D2:D35" si="2">(N2*C2)*24</f>
        <v>0</v>
      </c>
      <c r="E2" s="724"/>
      <c r="F2" s="724"/>
      <c r="G2" s="724"/>
      <c r="H2" s="654"/>
      <c r="I2" s="657"/>
      <c r="J2" s="654"/>
      <c r="K2" s="656"/>
      <c r="L2" s="654"/>
      <c r="M2" s="657"/>
      <c r="N2" s="713"/>
      <c r="O2" s="1081">
        <f>(O4+O6)</f>
        <v>169</v>
      </c>
      <c r="P2" s="656">
        <f t="shared" ref="P2" si="3">P4+P6</f>
        <v>169</v>
      </c>
      <c r="Q2" s="1094">
        <f>'09hod22'!Q5</f>
        <v>0</v>
      </c>
      <c r="R2" s="644" t="s">
        <v>563</v>
      </c>
      <c r="S2" s="1092" t="str">
        <f>'09hod22'!S5</f>
        <v>Výplata za Září</v>
      </c>
      <c r="T2" s="1093" t="str">
        <f>'09hod22'!T5</f>
        <v>xx.07.2022</v>
      </c>
      <c r="U2" s="722">
        <f>T7*20</f>
        <v>0</v>
      </c>
      <c r="V2" s="642">
        <f t="shared" ref="V2:V32" si="4">WEEKDAY(A2,2)</f>
        <v>6</v>
      </c>
    </row>
    <row r="3" spans="1:22" x14ac:dyDescent="0.25">
      <c r="A3" s="1080">
        <v>44836</v>
      </c>
      <c r="B3" s="657" t="str">
        <f t="shared" si="0"/>
        <v>Ne</v>
      </c>
      <c r="C3" s="724">
        <f t="shared" si="1"/>
        <v>0</v>
      </c>
      <c r="D3" s="1079">
        <f t="shared" si="2"/>
        <v>0</v>
      </c>
      <c r="E3" s="724"/>
      <c r="F3" s="724"/>
      <c r="G3" s="724"/>
      <c r="H3" s="654"/>
      <c r="I3" s="657"/>
      <c r="J3" s="654"/>
      <c r="K3" s="657"/>
      <c r="L3" s="654"/>
      <c r="M3" s="657"/>
      <c r="N3" s="714"/>
      <c r="O3" s="654" t="s">
        <v>19</v>
      </c>
      <c r="P3" s="657" t="s">
        <v>19</v>
      </c>
      <c r="Q3" s="738">
        <v>0</v>
      </c>
      <c r="R3" s="611" t="s">
        <v>48</v>
      </c>
      <c r="S3" s="611" t="s">
        <v>48</v>
      </c>
      <c r="T3" s="874">
        <v>1</v>
      </c>
      <c r="U3" s="718"/>
      <c r="V3" s="642">
        <f t="shared" si="4"/>
        <v>7</v>
      </c>
    </row>
    <row r="4" spans="1:22" x14ac:dyDescent="0.25">
      <c r="A4" s="1080">
        <v>44837</v>
      </c>
      <c r="B4" s="657" t="str">
        <f t="shared" si="0"/>
        <v>Po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1082">
        <f>D37</f>
        <v>169</v>
      </c>
      <c r="P4" s="657">
        <v>169</v>
      </c>
      <c r="Q4" s="738">
        <v>60000</v>
      </c>
      <c r="R4" s="611" t="s">
        <v>563</v>
      </c>
      <c r="S4" s="611" t="s">
        <v>564</v>
      </c>
      <c r="T4" s="646"/>
      <c r="U4" s="718"/>
      <c r="V4" s="642">
        <f t="shared" si="4"/>
        <v>1</v>
      </c>
    </row>
    <row r="5" spans="1:22" x14ac:dyDescent="0.25">
      <c r="A5" s="1080">
        <v>44838</v>
      </c>
      <c r="B5" s="657" t="str">
        <f t="shared" si="0"/>
        <v>Út</v>
      </c>
      <c r="C5" s="724">
        <f t="shared" si="1"/>
        <v>0</v>
      </c>
      <c r="D5" s="1079">
        <f t="shared" si="2"/>
        <v>0</v>
      </c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654" t="s">
        <v>14</v>
      </c>
      <c r="P5" s="657" t="s">
        <v>14</v>
      </c>
      <c r="Q5" s="738">
        <v>0</v>
      </c>
      <c r="R5" s="611" t="s">
        <v>17</v>
      </c>
      <c r="S5" s="611" t="s">
        <v>430</v>
      </c>
      <c r="T5" s="646" t="s">
        <v>508</v>
      </c>
      <c r="U5" s="718"/>
      <c r="V5" s="642">
        <f t="shared" si="4"/>
        <v>2</v>
      </c>
    </row>
    <row r="6" spans="1:22" ht="15.75" thickBot="1" x14ac:dyDescent="0.3">
      <c r="A6" s="1080">
        <v>44839</v>
      </c>
      <c r="B6" s="657" t="str">
        <f t="shared" si="0"/>
        <v>St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1082">
        <f>O41*24</f>
        <v>0</v>
      </c>
      <c r="P6" s="657">
        <v>0</v>
      </c>
      <c r="Q6" s="712" t="s">
        <v>134</v>
      </c>
      <c r="R6" s="647"/>
      <c r="S6" s="647" t="s">
        <v>48</v>
      </c>
      <c r="T6" s="648"/>
      <c r="U6" s="718"/>
      <c r="V6" s="642">
        <f t="shared" si="4"/>
        <v>3</v>
      </c>
    </row>
    <row r="7" spans="1:22" x14ac:dyDescent="0.25">
      <c r="A7" s="1080">
        <v>44840</v>
      </c>
      <c r="B7" s="657" t="str">
        <f t="shared" si="0"/>
        <v>Čt</v>
      </c>
      <c r="C7" s="724">
        <f t="shared" si="1"/>
        <v>0</v>
      </c>
      <c r="D7" s="1079">
        <f t="shared" si="2"/>
        <v>0</v>
      </c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654" t="s">
        <v>20</v>
      </c>
      <c r="P7" s="1026" t="s">
        <v>20</v>
      </c>
      <c r="Q7" s="721">
        <f>Q3+Q4</f>
        <v>60000</v>
      </c>
      <c r="R7" s="718"/>
      <c r="S7" s="718"/>
      <c r="T7" s="718"/>
      <c r="U7" s="718"/>
      <c r="V7" s="642">
        <f t="shared" si="4"/>
        <v>4</v>
      </c>
    </row>
    <row r="8" spans="1:22" x14ac:dyDescent="0.25">
      <c r="A8" s="1080">
        <v>44841</v>
      </c>
      <c r="B8" s="657" t="str">
        <f t="shared" si="0"/>
        <v>Pá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509</v>
      </c>
      <c r="P8" s="1026" t="s">
        <v>509</v>
      </c>
      <c r="Q8" s="657" t="s">
        <v>229</v>
      </c>
      <c r="R8" s="718"/>
      <c r="S8" s="718"/>
      <c r="T8" s="718"/>
      <c r="U8" s="718"/>
      <c r="V8" s="642">
        <f t="shared" si="4"/>
        <v>5</v>
      </c>
    </row>
    <row r="9" spans="1:22" x14ac:dyDescent="0.25">
      <c r="A9" s="1080">
        <v>44842</v>
      </c>
      <c r="B9" s="657" t="str">
        <f t="shared" si="0"/>
        <v>So</v>
      </c>
      <c r="C9" s="724">
        <f t="shared" si="1"/>
        <v>0</v>
      </c>
      <c r="D9" s="1079">
        <f t="shared" si="2"/>
        <v>0</v>
      </c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23</v>
      </c>
      <c r="P9" s="1026" t="s">
        <v>23</v>
      </c>
      <c r="Q9" s="657">
        <f>SUM(Q2:Q4)</f>
        <v>60000</v>
      </c>
      <c r="R9" s="718"/>
      <c r="S9" s="718"/>
      <c r="T9" s="718"/>
      <c r="U9" s="718"/>
      <c r="V9" s="642">
        <f t="shared" si="4"/>
        <v>6</v>
      </c>
    </row>
    <row r="10" spans="1:22" x14ac:dyDescent="0.25">
      <c r="A10" s="1080">
        <v>44843</v>
      </c>
      <c r="B10" s="657" t="str">
        <f t="shared" si="0"/>
        <v>Ne</v>
      </c>
      <c r="C10" s="724">
        <f t="shared" si="1"/>
        <v>0</v>
      </c>
      <c r="D10" s="1079">
        <f t="shared" si="2"/>
        <v>0</v>
      </c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1083">
        <f>(O2*380)+U2</f>
        <v>64220</v>
      </c>
      <c r="P10" s="1088">
        <f>SUM(P2*380)</f>
        <v>64220</v>
      </c>
      <c r="Q10" s="719"/>
      <c r="R10" s="718"/>
      <c r="S10" s="718"/>
      <c r="T10" s="718"/>
      <c r="U10" s="718"/>
      <c r="V10" s="642">
        <f t="shared" si="4"/>
        <v>7</v>
      </c>
    </row>
    <row r="11" spans="1:22" x14ac:dyDescent="0.25">
      <c r="A11" s="1080">
        <v>44844</v>
      </c>
      <c r="B11" s="657" t="str">
        <f t="shared" si="0"/>
        <v>Po</v>
      </c>
      <c r="C11" s="724">
        <f t="shared" si="1"/>
        <v>0</v>
      </c>
      <c r="D11" s="1079">
        <f t="shared" si="2"/>
        <v>0</v>
      </c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654" t="s">
        <v>361</v>
      </c>
      <c r="P11" s="1026" t="s">
        <v>361</v>
      </c>
      <c r="Q11" s="718"/>
      <c r="R11" s="718"/>
      <c r="S11" s="718"/>
      <c r="T11" s="718"/>
      <c r="U11" s="718"/>
      <c r="V11" s="642">
        <f t="shared" si="4"/>
        <v>1</v>
      </c>
    </row>
    <row r="12" spans="1:22" x14ac:dyDescent="0.25">
      <c r="A12" s="1080">
        <v>44845</v>
      </c>
      <c r="B12" s="657" t="str">
        <f t="shared" si="0"/>
        <v>Út</v>
      </c>
      <c r="C12" s="724">
        <f>G12-E12-F12</f>
        <v>0</v>
      </c>
      <c r="D12" s="1079">
        <f t="shared" si="2"/>
        <v>0</v>
      </c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1083">
        <f>(O10+O20+O18-O22)-O14-P24</f>
        <v>32283</v>
      </c>
      <c r="P12" s="1088">
        <f>(P10+P18+P20-P22)-P14-P24</f>
        <v>32283</v>
      </c>
      <c r="Q12" s="718"/>
      <c r="R12" s="718"/>
      <c r="S12" s="718"/>
      <c r="T12" s="718"/>
      <c r="U12" s="718"/>
      <c r="V12" s="642">
        <f t="shared" si="4"/>
        <v>2</v>
      </c>
    </row>
    <row r="13" spans="1:22" x14ac:dyDescent="0.25">
      <c r="A13" s="1080">
        <v>44846</v>
      </c>
      <c r="B13" s="657" t="str">
        <f t="shared" si="0"/>
        <v>St</v>
      </c>
      <c r="C13" s="724">
        <f t="shared" si="1"/>
        <v>0</v>
      </c>
      <c r="D13" s="1079">
        <f t="shared" si="2"/>
        <v>0</v>
      </c>
      <c r="E13" s="724"/>
      <c r="F13" s="724"/>
      <c r="G13" s="724"/>
      <c r="H13" s="654"/>
      <c r="I13" s="657"/>
      <c r="J13" s="654"/>
      <c r="K13" s="657"/>
      <c r="L13" s="654"/>
      <c r="M13" s="657"/>
      <c r="N13" s="714"/>
      <c r="O13" s="654" t="s">
        <v>26</v>
      </c>
      <c r="P13" s="1088" t="s">
        <v>26</v>
      </c>
      <c r="Q13" s="718"/>
      <c r="R13" s="718"/>
      <c r="S13" s="718"/>
      <c r="T13" s="718"/>
      <c r="U13" s="718"/>
      <c r="V13" s="642">
        <f t="shared" si="4"/>
        <v>3</v>
      </c>
    </row>
    <row r="14" spans="1:22" x14ac:dyDescent="0.25">
      <c r="A14" s="1080">
        <v>44847</v>
      </c>
      <c r="B14" s="657" t="str">
        <f t="shared" si="0"/>
        <v>Čt</v>
      </c>
      <c r="C14" s="724">
        <f t="shared" si="1"/>
        <v>0</v>
      </c>
      <c r="D14" s="1079">
        <f t="shared" si="2"/>
        <v>0</v>
      </c>
      <c r="E14" s="724"/>
      <c r="F14" s="724"/>
      <c r="G14" s="724"/>
      <c r="H14" s="654"/>
      <c r="I14" s="657"/>
      <c r="J14" s="654"/>
      <c r="K14" s="657"/>
      <c r="L14" s="654"/>
      <c r="M14" s="657"/>
      <c r="N14" s="714"/>
      <c r="O14" s="1083">
        <f>(O16*24.49)</f>
        <v>12245</v>
      </c>
      <c r="P14" s="1088">
        <f>(P16*24.49)</f>
        <v>12245</v>
      </c>
      <c r="Q14" s="923" t="s">
        <v>458</v>
      </c>
      <c r="R14" s="1004">
        <f>P14+P22-P18</f>
        <v>27348</v>
      </c>
      <c r="S14" s="1007"/>
      <c r="T14" s="923" t="s">
        <v>462</v>
      </c>
      <c r="U14" s="1004">
        <f>P14+P22</f>
        <v>31402</v>
      </c>
      <c r="V14" s="642">
        <f t="shared" si="4"/>
        <v>4</v>
      </c>
    </row>
    <row r="15" spans="1:22" x14ac:dyDescent="0.25">
      <c r="A15" s="1080">
        <v>44848</v>
      </c>
      <c r="B15" s="657" t="str">
        <f t="shared" si="0"/>
        <v>Pá</v>
      </c>
      <c r="C15" s="724">
        <f t="shared" si="1"/>
        <v>0</v>
      </c>
      <c r="D15" s="1079">
        <f t="shared" si="2"/>
        <v>0</v>
      </c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654" t="s">
        <v>29</v>
      </c>
      <c r="P15" s="1026" t="s">
        <v>29</v>
      </c>
      <c r="Q15" s="1001" t="s">
        <v>459</v>
      </c>
      <c r="R15" s="1002">
        <f>P10</f>
        <v>64220</v>
      </c>
      <c r="S15" s="1008"/>
      <c r="T15" s="1001" t="s">
        <v>463</v>
      </c>
      <c r="U15" s="1002">
        <f>P10+P18+P20+O28</f>
        <v>131175</v>
      </c>
      <c r="V15" s="642">
        <f t="shared" si="4"/>
        <v>5</v>
      </c>
    </row>
    <row r="16" spans="1:22" x14ac:dyDescent="0.25">
      <c r="A16" s="1080">
        <v>44849</v>
      </c>
      <c r="B16" s="657" t="str">
        <f t="shared" si="0"/>
        <v>So</v>
      </c>
      <c r="C16" s="724">
        <f t="shared" si="1"/>
        <v>0</v>
      </c>
      <c r="D16" s="1079">
        <f t="shared" si="2"/>
        <v>0</v>
      </c>
      <c r="E16" s="724"/>
      <c r="F16" s="724"/>
      <c r="G16" s="724"/>
      <c r="H16" s="654"/>
      <c r="I16" s="657"/>
      <c r="J16" s="654"/>
      <c r="K16" s="657"/>
      <c r="L16" s="654"/>
      <c r="M16" s="657"/>
      <c r="N16" s="714"/>
      <c r="O16" s="1084">
        <f>'06cash22'!O45</f>
        <v>500</v>
      </c>
      <c r="P16" s="1089">
        <v>500</v>
      </c>
      <c r="Q16" s="1001"/>
      <c r="R16" s="1003">
        <f>R15-R14</f>
        <v>36872</v>
      </c>
      <c r="S16" s="1008"/>
      <c r="T16" s="1001" t="s">
        <v>513</v>
      </c>
      <c r="U16" s="1002">
        <f>U15-U14</f>
        <v>99773</v>
      </c>
      <c r="V16" s="642">
        <f t="shared" si="4"/>
        <v>6</v>
      </c>
    </row>
    <row r="17" spans="1:22" x14ac:dyDescent="0.25">
      <c r="A17" s="1080">
        <v>44850</v>
      </c>
      <c r="B17" s="657" t="str">
        <f t="shared" si="0"/>
        <v>Ne</v>
      </c>
      <c r="C17" s="724">
        <f t="shared" si="1"/>
        <v>0</v>
      </c>
      <c r="D17" s="1079">
        <f t="shared" si="2"/>
        <v>0</v>
      </c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654" t="s">
        <v>31</v>
      </c>
      <c r="P17" s="1026" t="s">
        <v>31</v>
      </c>
      <c r="Q17" s="1002">
        <f>R16-Q5-Q7</f>
        <v>-23128</v>
      </c>
      <c r="R17" s="1001"/>
      <c r="S17" s="1009"/>
      <c r="T17" s="1001" t="s">
        <v>514</v>
      </c>
      <c r="U17" s="1002">
        <f>U16-Q5-Q7</f>
        <v>39773</v>
      </c>
      <c r="V17" s="642">
        <f t="shared" si="4"/>
        <v>7</v>
      </c>
    </row>
    <row r="18" spans="1:22" x14ac:dyDescent="0.25">
      <c r="A18" s="1080">
        <v>44851</v>
      </c>
      <c r="B18" s="657" t="str">
        <f t="shared" si="0"/>
        <v>Po</v>
      </c>
      <c r="C18" s="724">
        <f t="shared" si="1"/>
        <v>0</v>
      </c>
      <c r="D18" s="1079">
        <f t="shared" si="2"/>
        <v>0</v>
      </c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1083">
        <v>4054</v>
      </c>
      <c r="P18" s="1088">
        <v>4054</v>
      </c>
      <c r="Q18" s="1001"/>
      <c r="R18" s="1001"/>
      <c r="S18" s="1008"/>
      <c r="T18" s="1001"/>
      <c r="U18" s="1001"/>
      <c r="V18" s="642">
        <f t="shared" si="4"/>
        <v>1</v>
      </c>
    </row>
    <row r="19" spans="1:22" x14ac:dyDescent="0.25">
      <c r="A19" s="1080">
        <v>44852</v>
      </c>
      <c r="B19" s="657" t="str">
        <f t="shared" si="0"/>
        <v>Út</v>
      </c>
      <c r="C19" s="724">
        <f t="shared" si="1"/>
        <v>0</v>
      </c>
      <c r="D19" s="1079">
        <f t="shared" si="2"/>
        <v>0</v>
      </c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 t="s">
        <v>33</v>
      </c>
      <c r="P19" s="1088" t="s">
        <v>33</v>
      </c>
      <c r="Q19" s="1001"/>
      <c r="R19" s="1001"/>
      <c r="S19" s="1008"/>
      <c r="T19" s="1001"/>
      <c r="U19" s="1001"/>
      <c r="V19" s="642">
        <f t="shared" si="4"/>
        <v>2</v>
      </c>
    </row>
    <row r="20" spans="1:22" x14ac:dyDescent="0.25">
      <c r="A20" s="1080">
        <v>44853</v>
      </c>
      <c r="B20" s="657" t="str">
        <f t="shared" si="0"/>
        <v>St</v>
      </c>
      <c r="C20" s="724">
        <f t="shared" si="1"/>
        <v>0</v>
      </c>
      <c r="D20" s="1079">
        <f t="shared" si="2"/>
        <v>0</v>
      </c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>
        <v>0</v>
      </c>
      <c r="P20" s="1088">
        <v>0</v>
      </c>
      <c r="Q20" s="1001"/>
      <c r="R20" s="1001"/>
      <c r="S20" s="1008"/>
      <c r="T20" s="1001"/>
      <c r="U20" s="1001"/>
      <c r="V20" s="642">
        <f t="shared" si="4"/>
        <v>3</v>
      </c>
    </row>
    <row r="21" spans="1:22" x14ac:dyDescent="0.25">
      <c r="A21" s="1080">
        <v>44854</v>
      </c>
      <c r="B21" s="657" t="str">
        <f t="shared" si="0"/>
        <v>Čt</v>
      </c>
      <c r="C21" s="724">
        <f t="shared" si="1"/>
        <v>0</v>
      </c>
      <c r="D21" s="1079">
        <f t="shared" si="2"/>
        <v>0</v>
      </c>
      <c r="E21" s="724"/>
      <c r="F21" s="724"/>
      <c r="G21" s="724"/>
      <c r="H21" s="654"/>
      <c r="I21" s="657"/>
      <c r="J21" s="654"/>
      <c r="K21" s="657"/>
      <c r="L21" s="654"/>
      <c r="M21" s="657"/>
      <c r="N21" s="714"/>
      <c r="O21" s="1083" t="s">
        <v>34</v>
      </c>
      <c r="P21" s="1088" t="s">
        <v>34</v>
      </c>
      <c r="Q21" s="1001"/>
      <c r="R21" s="1001"/>
      <c r="S21" s="1008"/>
      <c r="T21" s="1001"/>
      <c r="U21" s="1001"/>
      <c r="V21" s="642">
        <f t="shared" si="4"/>
        <v>4</v>
      </c>
    </row>
    <row r="22" spans="1:22" x14ac:dyDescent="0.25">
      <c r="A22" s="1080">
        <v>44855</v>
      </c>
      <c r="B22" s="657" t="str">
        <f t="shared" si="0"/>
        <v>Pá</v>
      </c>
      <c r="C22" s="724">
        <f t="shared" si="1"/>
        <v>0</v>
      </c>
      <c r="D22" s="1079">
        <f t="shared" si="2"/>
        <v>0</v>
      </c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>
        <v>19157</v>
      </c>
      <c r="P22" s="1088">
        <v>19157</v>
      </c>
      <c r="Q22" s="1001"/>
      <c r="R22" s="1017"/>
      <c r="S22" s="718"/>
      <c r="T22" s="1001"/>
      <c r="U22" s="1001"/>
      <c r="V22" s="642">
        <f t="shared" si="4"/>
        <v>5</v>
      </c>
    </row>
    <row r="23" spans="1:22" x14ac:dyDescent="0.25">
      <c r="A23" s="1080">
        <v>44856</v>
      </c>
      <c r="B23" s="657" t="str">
        <f t="shared" si="0"/>
        <v>So</v>
      </c>
      <c r="C23" s="724">
        <f t="shared" si="1"/>
        <v>0</v>
      </c>
      <c r="D23" s="1079">
        <f t="shared" si="2"/>
        <v>0</v>
      </c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5" t="s">
        <v>364</v>
      </c>
      <c r="P23" s="1090" t="s">
        <v>363</v>
      </c>
      <c r="Q23" s="1015">
        <f>Q17-P24</f>
        <v>-27717</v>
      </c>
      <c r="R23" s="1018"/>
      <c r="S23" s="1015">
        <f>U17-O26</f>
        <v>-27717</v>
      </c>
      <c r="T23" s="1001"/>
      <c r="U23" s="1001"/>
      <c r="V23" s="642">
        <f t="shared" si="4"/>
        <v>6</v>
      </c>
    </row>
    <row r="24" spans="1:22" x14ac:dyDescent="0.25">
      <c r="A24" s="1080">
        <v>44857</v>
      </c>
      <c r="B24" s="657" t="str">
        <f t="shared" si="0"/>
        <v>Ne</v>
      </c>
      <c r="C24" s="724">
        <f t="shared" si="1"/>
        <v>0</v>
      </c>
      <c r="D24" s="1079">
        <f t="shared" si="2"/>
        <v>0</v>
      </c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6">
        <f>P12-Q5</f>
        <v>32283</v>
      </c>
      <c r="P24" s="1088">
        <f>O26-O28</f>
        <v>4589</v>
      </c>
      <c r="Q24" s="1020"/>
      <c r="R24" s="1019"/>
      <c r="S24" s="1006"/>
      <c r="T24" s="1006"/>
      <c r="U24" s="1006"/>
      <c r="V24" s="642">
        <f t="shared" si="4"/>
        <v>7</v>
      </c>
    </row>
    <row r="25" spans="1:22" x14ac:dyDescent="0.25">
      <c r="A25" s="1080">
        <v>44858</v>
      </c>
      <c r="B25" s="657" t="str">
        <f t="shared" si="0"/>
        <v>Po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654" t="s">
        <v>372</v>
      </c>
      <c r="P25" s="1026"/>
      <c r="Q25" s="718"/>
      <c r="R25" s="718"/>
      <c r="S25" s="718"/>
      <c r="T25" s="718"/>
      <c r="U25" s="718"/>
      <c r="V25" s="642">
        <f t="shared" si="4"/>
        <v>1</v>
      </c>
    </row>
    <row r="26" spans="1:22" x14ac:dyDescent="0.25">
      <c r="A26" s="1080">
        <v>44859</v>
      </c>
      <c r="B26" s="657" t="str">
        <f t="shared" si="0"/>
        <v>Út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1083">
        <v>67490</v>
      </c>
      <c r="P26" s="1088"/>
      <c r="Q26" s="718"/>
      <c r="R26" s="718"/>
      <c r="S26" s="718"/>
      <c r="T26" s="718"/>
      <c r="U26" s="718"/>
      <c r="V26" s="642">
        <f t="shared" si="4"/>
        <v>2</v>
      </c>
    </row>
    <row r="27" spans="1:22" x14ac:dyDescent="0.25">
      <c r="A27" s="1080">
        <v>44860</v>
      </c>
      <c r="B27" s="657" t="str">
        <f t="shared" si="0"/>
        <v>St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654" t="s">
        <v>373</v>
      </c>
      <c r="P27" s="1026"/>
      <c r="Q27" s="718"/>
      <c r="R27" s="718"/>
      <c r="S27" s="718"/>
      <c r="T27" s="718"/>
      <c r="U27" s="718"/>
      <c r="V27" s="642">
        <f t="shared" si="4"/>
        <v>3</v>
      </c>
    </row>
    <row r="28" spans="1:22" x14ac:dyDescent="0.25">
      <c r="A28" s="1080">
        <v>44861</v>
      </c>
      <c r="B28" s="657" t="str">
        <f t="shared" si="0"/>
        <v>Čt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1095">
        <f>'09hod22'!O26</f>
        <v>62901</v>
      </c>
      <c r="P28" s="1026"/>
      <c r="Q28" s="718"/>
      <c r="R28" s="718"/>
      <c r="S28" s="718"/>
      <c r="T28" s="718"/>
      <c r="U28" s="718"/>
      <c r="V28" s="642">
        <f t="shared" si="4"/>
        <v>4</v>
      </c>
    </row>
    <row r="29" spans="1:22" x14ac:dyDescent="0.25">
      <c r="A29" s="1080">
        <v>44862</v>
      </c>
      <c r="B29" s="657" t="str">
        <f t="shared" si="0"/>
        <v>Pá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/>
      <c r="P29" s="1083"/>
      <c r="Q29" s="718"/>
      <c r="R29" s="718"/>
      <c r="S29" s="718"/>
      <c r="T29" s="718"/>
      <c r="U29" s="718"/>
      <c r="V29" s="642">
        <f t="shared" si="4"/>
        <v>5</v>
      </c>
    </row>
    <row r="30" spans="1:22" x14ac:dyDescent="0.25">
      <c r="A30" s="1080">
        <v>44863</v>
      </c>
      <c r="B30" s="657" t="str">
        <f t="shared" si="0"/>
        <v>So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918"/>
      <c r="P30" s="1091"/>
      <c r="Q30" s="718"/>
      <c r="R30" s="718"/>
      <c r="S30" s="718"/>
      <c r="T30" s="718"/>
      <c r="U30" s="718"/>
      <c r="V30" s="642">
        <f t="shared" si="4"/>
        <v>6</v>
      </c>
    </row>
    <row r="31" spans="1:22" x14ac:dyDescent="0.25">
      <c r="A31" s="1080">
        <v>44864</v>
      </c>
      <c r="B31" s="657" t="str">
        <f t="shared" si="0"/>
        <v>Ne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654"/>
      <c r="P31" s="1026"/>
      <c r="Q31" s="718"/>
      <c r="R31" s="718"/>
      <c r="S31" s="718"/>
      <c r="T31" s="718"/>
      <c r="U31" s="718"/>
      <c r="V31" s="642">
        <f t="shared" si="4"/>
        <v>7</v>
      </c>
    </row>
    <row r="32" spans="1:22" x14ac:dyDescent="0.25">
      <c r="A32" s="1080">
        <v>44865</v>
      </c>
      <c r="B32" s="657" t="str">
        <f t="shared" si="0"/>
        <v>Po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718"/>
      <c r="R32" s="718"/>
      <c r="S32" s="718"/>
      <c r="T32" s="718"/>
      <c r="U32" s="718"/>
      <c r="V32" s="642">
        <f t="shared" si="4"/>
        <v>1</v>
      </c>
    </row>
    <row r="33" spans="1:22" x14ac:dyDescent="0.25">
      <c r="A33" s="1080">
        <v>44866</v>
      </c>
      <c r="B33" s="657" t="str">
        <f t="shared" si="0"/>
        <v>Út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718"/>
      <c r="R33" s="718"/>
      <c r="S33" s="718"/>
      <c r="T33" s="718"/>
      <c r="U33" s="718"/>
      <c r="V33" s="642">
        <f>WEEKDAY(A33,2)</f>
        <v>2</v>
      </c>
    </row>
    <row r="34" spans="1:22" x14ac:dyDescent="0.25">
      <c r="A34" s="1080">
        <v>44867</v>
      </c>
      <c r="B34" s="657" t="str">
        <f t="shared" si="0"/>
        <v>St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718"/>
      <c r="R34" s="718"/>
      <c r="S34" s="718"/>
      <c r="T34" s="718"/>
      <c r="U34" s="718"/>
      <c r="V34" s="642">
        <f t="shared" ref="V34:V35" si="5">WEEKDAY(A34,2)</f>
        <v>3</v>
      </c>
    </row>
    <row r="35" spans="1:22" ht="15.75" thickBot="1" x14ac:dyDescent="0.3">
      <c r="A35" s="1080">
        <v>44868</v>
      </c>
      <c r="B35" s="658" t="str">
        <f t="shared" si="0"/>
        <v>Čt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8"/>
      <c r="L35" s="654"/>
      <c r="M35" s="658"/>
      <c r="N35" s="1087"/>
      <c r="O35" s="655"/>
      <c r="P35" s="1027"/>
      <c r="Q35" s="718"/>
      <c r="R35" s="718"/>
      <c r="S35" s="718"/>
      <c r="T35" s="718"/>
      <c r="U35" s="718"/>
      <c r="V35" s="642">
        <f t="shared" si="5"/>
        <v>4</v>
      </c>
    </row>
    <row r="36" spans="1:22" x14ac:dyDescent="0.25">
      <c r="A36" s="1127" t="s">
        <v>562</v>
      </c>
      <c r="B36" s="650">
        <v>39</v>
      </c>
      <c r="C36" s="1133">
        <v>8.5</v>
      </c>
      <c r="D36" s="1129" t="s">
        <v>103</v>
      </c>
      <c r="E36" s="1128"/>
      <c r="F36" s="1128"/>
      <c r="G36" s="1128"/>
      <c r="H36" s="1130"/>
      <c r="I36" s="650"/>
      <c r="J36" s="1130"/>
      <c r="K36" s="650"/>
      <c r="L36" s="1130"/>
      <c r="M36" s="650"/>
      <c r="N36" s="1131"/>
      <c r="O36" s="1130"/>
      <c r="P36" s="650"/>
      <c r="Q36" s="650"/>
      <c r="R36" s="650"/>
      <c r="S36" s="650"/>
      <c r="T36" s="650"/>
      <c r="U36" s="1132"/>
    </row>
    <row r="37" spans="1:22" x14ac:dyDescent="0.25">
      <c r="A37" s="1127" t="s">
        <v>562</v>
      </c>
      <c r="B37" s="650">
        <v>40</v>
      </c>
      <c r="C37" s="1133">
        <v>59.5</v>
      </c>
      <c r="D37" s="1133">
        <f>C36+C37+C38+C39+C40</f>
        <v>169</v>
      </c>
      <c r="E37" s="1128"/>
      <c r="F37" s="1128"/>
      <c r="G37" s="1128"/>
      <c r="H37" s="1130"/>
      <c r="I37" s="650"/>
      <c r="J37" s="1130"/>
      <c r="K37" s="650"/>
      <c r="L37" s="1130"/>
      <c r="M37" s="650"/>
      <c r="N37" s="1131"/>
      <c r="O37" s="1130"/>
      <c r="P37" s="650"/>
      <c r="Q37" s="650"/>
      <c r="R37" s="650"/>
      <c r="S37" s="650"/>
      <c r="T37" s="650"/>
      <c r="U37" s="1132"/>
    </row>
    <row r="38" spans="1:22" x14ac:dyDescent="0.25">
      <c r="A38" s="1127" t="s">
        <v>562</v>
      </c>
      <c r="B38" s="650">
        <v>41</v>
      </c>
      <c r="C38" s="1133">
        <v>28</v>
      </c>
      <c r="D38" s="1129"/>
      <c r="E38" s="1128"/>
      <c r="F38" s="1128"/>
      <c r="G38" s="1128"/>
      <c r="H38" s="1130"/>
      <c r="I38" s="650"/>
      <c r="J38" s="1130"/>
      <c r="K38" s="650"/>
      <c r="L38" s="1130"/>
      <c r="M38" s="650"/>
      <c r="N38" s="1131"/>
      <c r="O38" s="1128"/>
      <c r="P38" s="650"/>
      <c r="Q38" s="650"/>
      <c r="R38" s="650"/>
      <c r="S38" s="650"/>
      <c r="T38" s="650"/>
      <c r="U38" s="1132"/>
    </row>
    <row r="39" spans="1:22" x14ac:dyDescent="0.25">
      <c r="A39" s="1127" t="s">
        <v>562</v>
      </c>
      <c r="B39" s="650">
        <v>43</v>
      </c>
      <c r="C39" s="1133">
        <v>62</v>
      </c>
      <c r="D39" s="1129"/>
      <c r="E39" s="1128"/>
      <c r="F39" s="1128"/>
      <c r="G39" s="1128"/>
      <c r="H39" s="1130"/>
      <c r="I39" s="650"/>
      <c r="J39" s="1130"/>
      <c r="K39" s="650"/>
      <c r="L39" s="1130"/>
      <c r="M39" s="650"/>
      <c r="N39" s="1131"/>
      <c r="O39" s="1130"/>
      <c r="P39" s="650"/>
      <c r="Q39" s="650"/>
      <c r="R39" s="650"/>
      <c r="S39" s="650"/>
      <c r="T39" s="650"/>
      <c r="U39" s="1132"/>
    </row>
    <row r="40" spans="1:22" x14ac:dyDescent="0.25">
      <c r="A40" s="30" t="s">
        <v>562</v>
      </c>
      <c r="B40" s="30">
        <v>44</v>
      </c>
      <c r="C40" s="1134">
        <v>11</v>
      </c>
      <c r="D40" s="30"/>
      <c r="O40" s="732">
        <f>SUM(C2:C32)</f>
        <v>0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1491D1-E9BB-454B-9960-AB8FACAE82A7}">
  <dimension ref="A1:V45"/>
  <sheetViews>
    <sheetView topLeftCell="T1" zoomScaleNormal="60" zoomScaleSheetLayoutView="100" workbookViewId="0">
      <selection activeCell="T2" sqref="T2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1080">
        <v>44866</v>
      </c>
      <c r="B2" s="656" t="str">
        <f t="shared" ref="B2:B35" si="0">CHOOSE(WEEKDAY(V2),"Po","Út","St","Čt","Pá","So","Ne")</f>
        <v>Út</v>
      </c>
      <c r="C2" s="724">
        <f t="shared" ref="C2:C35" si="1">G2-E2-F2</f>
        <v>0</v>
      </c>
      <c r="D2" s="1079">
        <f t="shared" ref="D2:D35" si="2">(N2*C2)*24</f>
        <v>0</v>
      </c>
      <c r="E2" s="724"/>
      <c r="F2" s="724"/>
      <c r="G2" s="724"/>
      <c r="H2" s="654"/>
      <c r="I2" s="657"/>
      <c r="J2" s="654"/>
      <c r="K2" s="656"/>
      <c r="L2" s="654"/>
      <c r="M2" s="657"/>
      <c r="N2" s="713"/>
      <c r="O2" s="1081">
        <v>225</v>
      </c>
      <c r="P2" s="656">
        <f t="shared" ref="P2" si="3">P4+P6</f>
        <v>225</v>
      </c>
      <c r="Q2" s="1094">
        <f>'10hod22'!Q5</f>
        <v>0</v>
      </c>
      <c r="R2" s="644" t="s">
        <v>17</v>
      </c>
      <c r="S2" s="1092" t="str">
        <f>'10hod22'!S5</f>
        <v>Výplata za Říjen</v>
      </c>
      <c r="T2" s="1093" t="str">
        <f>'10hod22'!T5</f>
        <v>xx.07.2022</v>
      </c>
      <c r="U2" s="722">
        <f>T7*20</f>
        <v>0</v>
      </c>
      <c r="V2" s="642">
        <f t="shared" ref="V2:V32" si="4">WEEKDAY(A2,2)</f>
        <v>2</v>
      </c>
    </row>
    <row r="3" spans="1:22" x14ac:dyDescent="0.25">
      <c r="A3" s="1080">
        <v>44867</v>
      </c>
      <c r="B3" s="657" t="str">
        <f t="shared" si="0"/>
        <v>St</v>
      </c>
      <c r="C3" s="724">
        <f t="shared" si="1"/>
        <v>0.41666666666666663</v>
      </c>
      <c r="D3" s="1079">
        <f t="shared" si="2"/>
        <v>0</v>
      </c>
      <c r="E3" s="724">
        <v>0.33333333333333331</v>
      </c>
      <c r="F3" s="724">
        <f t="shared" ref="F3:F5" si="5">TIME(1,0,0)</f>
        <v>4.1666666666666664E-2</v>
      </c>
      <c r="G3" s="724">
        <v>0.79166666666666663</v>
      </c>
      <c r="H3" s="654"/>
      <c r="I3" s="657"/>
      <c r="J3" s="654"/>
      <c r="K3" s="657"/>
      <c r="L3" s="654"/>
      <c r="M3" s="657"/>
      <c r="N3" s="714"/>
      <c r="O3" s="654" t="s">
        <v>19</v>
      </c>
      <c r="P3" s="657" t="s">
        <v>19</v>
      </c>
      <c r="Q3" s="738">
        <v>0</v>
      </c>
      <c r="R3" s="611" t="s">
        <v>48</v>
      </c>
      <c r="S3" s="611" t="s">
        <v>48</v>
      </c>
      <c r="T3" s="874">
        <v>1</v>
      </c>
      <c r="U3" s="718"/>
      <c r="V3" s="642">
        <f t="shared" si="4"/>
        <v>3</v>
      </c>
    </row>
    <row r="4" spans="1:22" x14ac:dyDescent="0.25">
      <c r="A4" s="1080">
        <v>44868</v>
      </c>
      <c r="B4" s="657" t="str">
        <f t="shared" si="0"/>
        <v>Čt</v>
      </c>
      <c r="C4" s="724">
        <f t="shared" si="1"/>
        <v>0.4375</v>
      </c>
      <c r="D4" s="1079">
        <f t="shared" si="2"/>
        <v>0</v>
      </c>
      <c r="E4" s="724">
        <v>0.29166666666666669</v>
      </c>
      <c r="F4" s="724">
        <f t="shared" si="5"/>
        <v>4.1666666666666664E-2</v>
      </c>
      <c r="G4" s="724">
        <v>0.77083333333333337</v>
      </c>
      <c r="H4" s="654"/>
      <c r="I4" s="657"/>
      <c r="J4" s="654"/>
      <c r="K4" s="657"/>
      <c r="L4" s="654"/>
      <c r="M4" s="657"/>
      <c r="N4" s="714"/>
      <c r="O4" s="1082">
        <v>225</v>
      </c>
      <c r="P4" s="657">
        <v>225</v>
      </c>
      <c r="Q4" s="738">
        <v>60000</v>
      </c>
      <c r="R4" s="611" t="s">
        <v>17</v>
      </c>
      <c r="S4" s="611" t="s">
        <v>158</v>
      </c>
      <c r="T4" s="646"/>
      <c r="U4" s="718"/>
      <c r="V4" s="642">
        <f t="shared" si="4"/>
        <v>4</v>
      </c>
    </row>
    <row r="5" spans="1:22" x14ac:dyDescent="0.25">
      <c r="A5" s="1080">
        <v>44869</v>
      </c>
      <c r="B5" s="657" t="str">
        <f t="shared" si="0"/>
        <v>Pá</v>
      </c>
      <c r="C5" s="724">
        <f t="shared" si="1"/>
        <v>0.41666666666666663</v>
      </c>
      <c r="D5" s="1079">
        <f t="shared" si="2"/>
        <v>0</v>
      </c>
      <c r="E5" s="724">
        <v>0.29166666666666669</v>
      </c>
      <c r="F5" s="724">
        <f t="shared" si="5"/>
        <v>4.1666666666666664E-2</v>
      </c>
      <c r="G5" s="724">
        <v>0.75</v>
      </c>
      <c r="H5" s="654"/>
      <c r="I5" s="657"/>
      <c r="J5" s="654"/>
      <c r="K5" s="657"/>
      <c r="L5" s="654"/>
      <c r="M5" s="657"/>
      <c r="N5" s="714"/>
      <c r="O5" s="654" t="s">
        <v>14</v>
      </c>
      <c r="P5" s="657" t="s">
        <v>14</v>
      </c>
      <c r="Q5" s="738">
        <v>0</v>
      </c>
      <c r="R5" s="611" t="s">
        <v>17</v>
      </c>
      <c r="S5" s="611" t="s">
        <v>431</v>
      </c>
      <c r="T5" s="646" t="s">
        <v>508</v>
      </c>
      <c r="U5" s="718"/>
      <c r="V5" s="642">
        <f t="shared" si="4"/>
        <v>5</v>
      </c>
    </row>
    <row r="6" spans="1:22" ht="15.75" thickBot="1" x14ac:dyDescent="0.3">
      <c r="A6" s="1080">
        <v>44870</v>
      </c>
      <c r="B6" s="657" t="str">
        <f t="shared" si="0"/>
        <v>So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1082">
        <f>O41*24</f>
        <v>0</v>
      </c>
      <c r="P6" s="657">
        <v>0</v>
      </c>
      <c r="Q6" s="712" t="s">
        <v>134</v>
      </c>
      <c r="R6" s="647"/>
      <c r="S6" s="647" t="s">
        <v>48</v>
      </c>
      <c r="T6" s="648"/>
      <c r="U6" s="718"/>
      <c r="V6" s="642">
        <f t="shared" si="4"/>
        <v>6</v>
      </c>
    </row>
    <row r="7" spans="1:22" x14ac:dyDescent="0.25">
      <c r="A7" s="1080">
        <v>44871</v>
      </c>
      <c r="B7" s="657" t="str">
        <f t="shared" si="0"/>
        <v>Ne</v>
      </c>
      <c r="C7" s="724">
        <f t="shared" si="1"/>
        <v>0</v>
      </c>
      <c r="D7" s="1079">
        <f t="shared" si="2"/>
        <v>0</v>
      </c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654" t="s">
        <v>20</v>
      </c>
      <c r="P7" s="1026" t="s">
        <v>20</v>
      </c>
      <c r="Q7" s="721">
        <f>Q3+Q4</f>
        <v>60000</v>
      </c>
      <c r="R7" s="718"/>
      <c r="S7" s="718"/>
      <c r="T7" s="718"/>
      <c r="U7" s="718"/>
      <c r="V7" s="642">
        <f t="shared" si="4"/>
        <v>7</v>
      </c>
    </row>
    <row r="8" spans="1:22" x14ac:dyDescent="0.25">
      <c r="A8" s="1080">
        <v>44872</v>
      </c>
      <c r="B8" s="657" t="str">
        <f t="shared" si="0"/>
        <v>Po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509</v>
      </c>
      <c r="P8" s="1026" t="s">
        <v>509</v>
      </c>
      <c r="Q8" s="657" t="s">
        <v>229</v>
      </c>
      <c r="R8" s="718"/>
      <c r="S8" s="718"/>
      <c r="T8" s="718"/>
      <c r="U8" s="718"/>
      <c r="V8" s="642">
        <f t="shared" si="4"/>
        <v>1</v>
      </c>
    </row>
    <row r="9" spans="1:22" x14ac:dyDescent="0.25">
      <c r="A9" s="1080">
        <v>44873</v>
      </c>
      <c r="B9" s="657" t="str">
        <f t="shared" si="0"/>
        <v>Út</v>
      </c>
      <c r="C9" s="724">
        <f t="shared" si="1"/>
        <v>0</v>
      </c>
      <c r="D9" s="1079">
        <f t="shared" si="2"/>
        <v>0</v>
      </c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23</v>
      </c>
      <c r="P9" s="1026" t="s">
        <v>23</v>
      </c>
      <c r="Q9" s="657">
        <f>SUM(Q2:Q4)</f>
        <v>60000</v>
      </c>
      <c r="R9" s="718"/>
      <c r="S9" s="718"/>
      <c r="T9" s="718"/>
      <c r="U9" s="718"/>
      <c r="V9" s="642">
        <f t="shared" si="4"/>
        <v>2</v>
      </c>
    </row>
    <row r="10" spans="1:22" x14ac:dyDescent="0.25">
      <c r="A10" s="1080">
        <v>44874</v>
      </c>
      <c r="B10" s="657" t="str">
        <f t="shared" si="0"/>
        <v>St</v>
      </c>
      <c r="C10" s="724">
        <f t="shared" si="1"/>
        <v>0</v>
      </c>
      <c r="D10" s="1079">
        <f t="shared" si="2"/>
        <v>0</v>
      </c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1083">
        <f>(O2*380)+U2</f>
        <v>85500</v>
      </c>
      <c r="P10" s="1088">
        <f>SUM(P2*380)</f>
        <v>85500</v>
      </c>
      <c r="Q10" s="719"/>
      <c r="R10" s="718"/>
      <c r="S10" s="718"/>
      <c r="T10" s="718"/>
      <c r="U10" s="718"/>
      <c r="V10" s="642">
        <f t="shared" si="4"/>
        <v>3</v>
      </c>
    </row>
    <row r="11" spans="1:22" x14ac:dyDescent="0.25">
      <c r="A11" s="1080">
        <v>44875</v>
      </c>
      <c r="B11" s="657" t="str">
        <f t="shared" si="0"/>
        <v>Čt</v>
      </c>
      <c r="C11" s="724">
        <f t="shared" si="1"/>
        <v>0</v>
      </c>
      <c r="D11" s="1079">
        <f t="shared" si="2"/>
        <v>0</v>
      </c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654" t="s">
        <v>361</v>
      </c>
      <c r="P11" s="1026" t="s">
        <v>361</v>
      </c>
      <c r="Q11" s="718"/>
      <c r="R11" s="718"/>
      <c r="S11" s="718"/>
      <c r="T11" s="718"/>
      <c r="U11" s="718"/>
      <c r="V11" s="642">
        <f t="shared" si="4"/>
        <v>4</v>
      </c>
    </row>
    <row r="12" spans="1:22" x14ac:dyDescent="0.25">
      <c r="A12" s="1080">
        <v>44876</v>
      </c>
      <c r="B12" s="657" t="str">
        <f t="shared" si="0"/>
        <v>Pá</v>
      </c>
      <c r="C12" s="724">
        <f>G12-E12-F12</f>
        <v>0</v>
      </c>
      <c r="D12" s="1079">
        <f t="shared" si="2"/>
        <v>0</v>
      </c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1083">
        <f>(O10+O20+O18-O22)-O14-P24</f>
        <v>31304</v>
      </c>
      <c r="P12" s="1088">
        <f>(P10+P18+P20-P22)-P14-P24</f>
        <v>31304</v>
      </c>
      <c r="Q12" s="718"/>
      <c r="R12" s="718"/>
      <c r="S12" s="718"/>
      <c r="T12" s="718"/>
      <c r="U12" s="718"/>
      <c r="V12" s="642">
        <f t="shared" si="4"/>
        <v>5</v>
      </c>
    </row>
    <row r="13" spans="1:22" x14ac:dyDescent="0.25">
      <c r="A13" s="1080">
        <v>44877</v>
      </c>
      <c r="B13" s="657" t="str">
        <f t="shared" si="0"/>
        <v>So</v>
      </c>
      <c r="C13" s="724">
        <f t="shared" si="1"/>
        <v>0</v>
      </c>
      <c r="D13" s="1079">
        <f t="shared" si="2"/>
        <v>0</v>
      </c>
      <c r="E13" s="724"/>
      <c r="F13" s="724"/>
      <c r="G13" s="724"/>
      <c r="H13" s="654"/>
      <c r="I13" s="657"/>
      <c r="J13" s="654"/>
      <c r="K13" s="657"/>
      <c r="L13" s="654"/>
      <c r="M13" s="657"/>
      <c r="N13" s="714"/>
      <c r="O13" s="654" t="s">
        <v>26</v>
      </c>
      <c r="P13" s="1088" t="s">
        <v>26</v>
      </c>
      <c r="Q13" s="718"/>
      <c r="R13" s="718"/>
      <c r="S13" s="718"/>
      <c r="T13" s="718"/>
      <c r="U13" s="718"/>
      <c r="V13" s="642">
        <f t="shared" si="4"/>
        <v>6</v>
      </c>
    </row>
    <row r="14" spans="1:22" x14ac:dyDescent="0.25">
      <c r="A14" s="1080">
        <v>44878</v>
      </c>
      <c r="B14" s="657" t="str">
        <f t="shared" si="0"/>
        <v>Ne</v>
      </c>
      <c r="C14" s="724">
        <f t="shared" si="1"/>
        <v>0</v>
      </c>
      <c r="D14" s="1079">
        <f t="shared" si="2"/>
        <v>0</v>
      </c>
      <c r="E14" s="724"/>
      <c r="F14" s="724"/>
      <c r="G14" s="724"/>
      <c r="H14" s="654"/>
      <c r="I14" s="657"/>
      <c r="J14" s="654"/>
      <c r="K14" s="657"/>
      <c r="L14" s="654"/>
      <c r="M14" s="657"/>
      <c r="N14" s="714"/>
      <c r="O14" s="1083">
        <f>(O16*24.34)</f>
        <v>0</v>
      </c>
      <c r="P14" s="1088">
        <f>(P16*24.34)</f>
        <v>0</v>
      </c>
      <c r="Q14" s="923" t="s">
        <v>458</v>
      </c>
      <c r="R14" s="1004">
        <f>P14+P22-P18</f>
        <v>31747</v>
      </c>
      <c r="S14" s="1007"/>
      <c r="T14" s="923" t="s">
        <v>462</v>
      </c>
      <c r="U14" s="1004">
        <f>P14+P22</f>
        <v>31747</v>
      </c>
      <c r="V14" s="642">
        <f t="shared" si="4"/>
        <v>7</v>
      </c>
    </row>
    <row r="15" spans="1:22" x14ac:dyDescent="0.25">
      <c r="A15" s="1080">
        <v>44879</v>
      </c>
      <c r="B15" s="657" t="str">
        <f t="shared" si="0"/>
        <v>Po</v>
      </c>
      <c r="C15" s="724">
        <f t="shared" si="1"/>
        <v>0</v>
      </c>
      <c r="D15" s="1079">
        <f t="shared" si="2"/>
        <v>0</v>
      </c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654">
        <f>'07cash'!O43</f>
        <v>2363.1999999999998</v>
      </c>
      <c r="P15" s="1026" t="s">
        <v>29</v>
      </c>
      <c r="Q15" s="1001" t="s">
        <v>459</v>
      </c>
      <c r="R15" s="1002">
        <f>P10</f>
        <v>85500</v>
      </c>
      <c r="S15" s="1008"/>
      <c r="T15" s="1001" t="s">
        <v>463</v>
      </c>
      <c r="U15" s="1002">
        <f>P10+P18+P20+O28</f>
        <v>152990</v>
      </c>
      <c r="V15" s="642">
        <f t="shared" si="4"/>
        <v>1</v>
      </c>
    </row>
    <row r="16" spans="1:22" x14ac:dyDescent="0.25">
      <c r="A16" s="1080">
        <v>44880</v>
      </c>
      <c r="B16" s="657" t="str">
        <f t="shared" si="0"/>
        <v>Út</v>
      </c>
      <c r="C16" s="724">
        <f t="shared" si="1"/>
        <v>0</v>
      </c>
      <c r="D16" s="1079">
        <f t="shared" si="2"/>
        <v>0</v>
      </c>
      <c r="E16" s="724"/>
      <c r="F16" s="724"/>
      <c r="G16" s="724"/>
      <c r="H16" s="654"/>
      <c r="I16" s="657"/>
      <c r="J16" s="654"/>
      <c r="K16" s="657"/>
      <c r="L16" s="654"/>
      <c r="M16" s="657"/>
      <c r="N16" s="714"/>
      <c r="O16" s="1084">
        <v>0</v>
      </c>
      <c r="P16" s="1089">
        <v>0</v>
      </c>
      <c r="Q16" s="1001"/>
      <c r="R16" s="1003">
        <f>R15-R14</f>
        <v>53753</v>
      </c>
      <c r="S16" s="1008"/>
      <c r="T16" s="1001" t="s">
        <v>513</v>
      </c>
      <c r="U16" s="1002">
        <f>U15-U14</f>
        <v>121243</v>
      </c>
      <c r="V16" s="642">
        <f t="shared" si="4"/>
        <v>2</v>
      </c>
    </row>
    <row r="17" spans="1:22" x14ac:dyDescent="0.25">
      <c r="A17" s="1080">
        <v>44881</v>
      </c>
      <c r="B17" s="657" t="str">
        <f t="shared" si="0"/>
        <v>St</v>
      </c>
      <c r="C17" s="724">
        <f t="shared" si="1"/>
        <v>0</v>
      </c>
      <c r="D17" s="1079">
        <f t="shared" si="2"/>
        <v>0</v>
      </c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654" t="s">
        <v>31</v>
      </c>
      <c r="P17" s="1026" t="s">
        <v>31</v>
      </c>
      <c r="Q17" s="1002">
        <f>R16-Q5-Q7</f>
        <v>-6247</v>
      </c>
      <c r="R17" s="1001"/>
      <c r="S17" s="1009"/>
      <c r="T17" s="1001" t="s">
        <v>514</v>
      </c>
      <c r="U17" s="1002">
        <f>U16-Q5-Q7</f>
        <v>61243</v>
      </c>
      <c r="V17" s="642">
        <f t="shared" si="4"/>
        <v>3</v>
      </c>
    </row>
    <row r="18" spans="1:22" x14ac:dyDescent="0.25">
      <c r="A18" s="1080">
        <v>44882</v>
      </c>
      <c r="B18" s="657" t="str">
        <f t="shared" si="0"/>
        <v>Čt</v>
      </c>
      <c r="C18" s="724">
        <f t="shared" si="1"/>
        <v>0</v>
      </c>
      <c r="D18" s="1079">
        <f t="shared" si="2"/>
        <v>0</v>
      </c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1083"/>
      <c r="P18" s="1088"/>
      <c r="Q18" s="1001"/>
      <c r="R18" s="1001"/>
      <c r="S18" s="1008"/>
      <c r="T18" s="1001"/>
      <c r="U18" s="1001"/>
      <c r="V18" s="642">
        <f t="shared" si="4"/>
        <v>4</v>
      </c>
    </row>
    <row r="19" spans="1:22" x14ac:dyDescent="0.25">
      <c r="A19" s="1080">
        <v>44883</v>
      </c>
      <c r="B19" s="657" t="str">
        <f t="shared" si="0"/>
        <v>Pá</v>
      </c>
      <c r="C19" s="724">
        <f t="shared" si="1"/>
        <v>0</v>
      </c>
      <c r="D19" s="1079">
        <f t="shared" si="2"/>
        <v>0</v>
      </c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 t="s">
        <v>33</v>
      </c>
      <c r="P19" s="1088" t="s">
        <v>33</v>
      </c>
      <c r="Q19" s="1001"/>
      <c r="R19" s="1001"/>
      <c r="S19" s="1008"/>
      <c r="T19" s="1001"/>
      <c r="U19" s="1001"/>
      <c r="V19" s="642">
        <f t="shared" si="4"/>
        <v>5</v>
      </c>
    </row>
    <row r="20" spans="1:22" x14ac:dyDescent="0.25">
      <c r="A20" s="1080">
        <v>44884</v>
      </c>
      <c r="B20" s="657" t="str">
        <f t="shared" si="0"/>
        <v>So</v>
      </c>
      <c r="C20" s="724">
        <f t="shared" si="1"/>
        <v>0</v>
      </c>
      <c r="D20" s="1079">
        <f t="shared" si="2"/>
        <v>0</v>
      </c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>
        <v>0</v>
      </c>
      <c r="P20" s="1088">
        <v>0</v>
      </c>
      <c r="Q20" s="1001"/>
      <c r="R20" s="1001"/>
      <c r="S20" s="1008"/>
      <c r="T20" s="1001"/>
      <c r="U20" s="1001"/>
      <c r="V20" s="642">
        <f t="shared" si="4"/>
        <v>6</v>
      </c>
    </row>
    <row r="21" spans="1:22" x14ac:dyDescent="0.25">
      <c r="A21" s="1080">
        <v>44885</v>
      </c>
      <c r="B21" s="657" t="str">
        <f t="shared" si="0"/>
        <v>Ne</v>
      </c>
      <c r="C21" s="724">
        <f t="shared" si="1"/>
        <v>0</v>
      </c>
      <c r="D21" s="1079">
        <f t="shared" si="2"/>
        <v>0</v>
      </c>
      <c r="E21" s="724"/>
      <c r="F21" s="724"/>
      <c r="G21" s="724"/>
      <c r="H21" s="654"/>
      <c r="I21" s="657"/>
      <c r="J21" s="654"/>
      <c r="K21" s="657"/>
      <c r="L21" s="654"/>
      <c r="M21" s="657"/>
      <c r="N21" s="714"/>
      <c r="O21" s="1083" t="s">
        <v>34</v>
      </c>
      <c r="P21" s="1088" t="s">
        <v>34</v>
      </c>
      <c r="Q21" s="1001"/>
      <c r="R21" s="1001"/>
      <c r="S21" s="1008"/>
      <c r="T21" s="1001"/>
      <c r="U21" s="1001"/>
      <c r="V21" s="642">
        <f t="shared" si="4"/>
        <v>7</v>
      </c>
    </row>
    <row r="22" spans="1:22" x14ac:dyDescent="0.25">
      <c r="A22" s="1080">
        <v>44886</v>
      </c>
      <c r="B22" s="657" t="str">
        <f t="shared" si="0"/>
        <v>Po</v>
      </c>
      <c r="C22" s="724">
        <f t="shared" si="1"/>
        <v>0</v>
      </c>
      <c r="D22" s="1079">
        <f t="shared" si="2"/>
        <v>0</v>
      </c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>
        <v>31747</v>
      </c>
      <c r="P22" s="1088">
        <v>31747</v>
      </c>
      <c r="Q22" s="1001"/>
      <c r="R22" s="1017"/>
      <c r="S22" s="718"/>
      <c r="T22" s="1001"/>
      <c r="U22" s="1001"/>
      <c r="V22" s="642">
        <f t="shared" si="4"/>
        <v>1</v>
      </c>
    </row>
    <row r="23" spans="1:22" x14ac:dyDescent="0.25">
      <c r="A23" s="1080">
        <v>44887</v>
      </c>
      <c r="B23" s="657" t="str">
        <f t="shared" si="0"/>
        <v>Út</v>
      </c>
      <c r="C23" s="724">
        <f t="shared" si="1"/>
        <v>0</v>
      </c>
      <c r="D23" s="1079">
        <f t="shared" si="2"/>
        <v>0</v>
      </c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5" t="s">
        <v>364</v>
      </c>
      <c r="P23" s="1090" t="s">
        <v>363</v>
      </c>
      <c r="Q23" s="1015">
        <f>Q17-P24</f>
        <v>-28696</v>
      </c>
      <c r="R23" s="1018"/>
      <c r="S23" s="1015">
        <f>U17-O26</f>
        <v>-28696</v>
      </c>
      <c r="T23" s="1001"/>
      <c r="U23" s="1001"/>
      <c r="V23" s="642">
        <f t="shared" si="4"/>
        <v>2</v>
      </c>
    </row>
    <row r="24" spans="1:22" x14ac:dyDescent="0.25">
      <c r="A24" s="1080">
        <v>44888</v>
      </c>
      <c r="B24" s="657" t="str">
        <f t="shared" si="0"/>
        <v>St</v>
      </c>
      <c r="C24" s="724">
        <f t="shared" si="1"/>
        <v>0</v>
      </c>
      <c r="D24" s="1079">
        <f t="shared" si="2"/>
        <v>0</v>
      </c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6">
        <f>P12-Q5</f>
        <v>31304</v>
      </c>
      <c r="P24" s="1088">
        <f>O26-O28</f>
        <v>22449</v>
      </c>
      <c r="Q24" s="1020"/>
      <c r="R24" s="1019"/>
      <c r="S24" s="1006"/>
      <c r="T24" s="1006"/>
      <c r="U24" s="1006"/>
      <c r="V24" s="642">
        <f t="shared" si="4"/>
        <v>3</v>
      </c>
    </row>
    <row r="25" spans="1:22" x14ac:dyDescent="0.25">
      <c r="A25" s="1080">
        <v>44889</v>
      </c>
      <c r="B25" s="657" t="str">
        <f t="shared" si="0"/>
        <v>Čt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654" t="s">
        <v>372</v>
      </c>
      <c r="P25" s="1026"/>
      <c r="Q25" s="718"/>
      <c r="R25" s="718"/>
      <c r="S25" s="718"/>
      <c r="T25" s="718"/>
      <c r="U25" s="718"/>
      <c r="V25" s="642">
        <f t="shared" si="4"/>
        <v>4</v>
      </c>
    </row>
    <row r="26" spans="1:22" x14ac:dyDescent="0.25">
      <c r="A26" s="1080">
        <v>44890</v>
      </c>
      <c r="B26" s="657" t="str">
        <f t="shared" si="0"/>
        <v>Pá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1083">
        <v>89939</v>
      </c>
      <c r="P26" s="1088"/>
      <c r="Q26" s="718"/>
      <c r="R26" s="718"/>
      <c r="S26" s="718"/>
      <c r="T26" s="718"/>
      <c r="U26" s="718"/>
      <c r="V26" s="642">
        <f t="shared" si="4"/>
        <v>5</v>
      </c>
    </row>
    <row r="27" spans="1:22" x14ac:dyDescent="0.25">
      <c r="A27" s="1080">
        <v>44891</v>
      </c>
      <c r="B27" s="657" t="str">
        <f t="shared" si="0"/>
        <v>So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654" t="s">
        <v>373</v>
      </c>
      <c r="P27" s="1026"/>
      <c r="Q27" s="718"/>
      <c r="R27" s="718"/>
      <c r="S27" s="718"/>
      <c r="T27" s="718"/>
      <c r="U27" s="718"/>
      <c r="V27" s="642">
        <f t="shared" si="4"/>
        <v>6</v>
      </c>
    </row>
    <row r="28" spans="1:22" x14ac:dyDescent="0.25">
      <c r="A28" s="1080">
        <v>44892</v>
      </c>
      <c r="B28" s="657" t="str">
        <f t="shared" si="0"/>
        <v>Ne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1095">
        <f>'10hod22'!O26</f>
        <v>67490</v>
      </c>
      <c r="P28" s="1026"/>
      <c r="Q28" s="718"/>
      <c r="R28" s="718"/>
      <c r="S28" s="718"/>
      <c r="T28" s="718"/>
      <c r="U28" s="718"/>
      <c r="V28" s="642">
        <f t="shared" si="4"/>
        <v>7</v>
      </c>
    </row>
    <row r="29" spans="1:22" x14ac:dyDescent="0.25">
      <c r="A29" s="1080">
        <v>44893</v>
      </c>
      <c r="B29" s="657" t="str">
        <f t="shared" si="0"/>
        <v>Po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/>
      <c r="P29" s="1083"/>
      <c r="Q29" s="718"/>
      <c r="R29" s="718"/>
      <c r="S29" s="718"/>
      <c r="T29" s="718"/>
      <c r="U29" s="718"/>
      <c r="V29" s="642">
        <f t="shared" si="4"/>
        <v>1</v>
      </c>
    </row>
    <row r="30" spans="1:22" x14ac:dyDescent="0.25">
      <c r="A30" s="1080">
        <v>44894</v>
      </c>
      <c r="B30" s="657" t="str">
        <f t="shared" si="0"/>
        <v>Út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918"/>
      <c r="P30" s="1091"/>
      <c r="Q30" s="718"/>
      <c r="R30" s="718"/>
      <c r="S30" s="718"/>
      <c r="T30" s="718"/>
      <c r="U30" s="718"/>
      <c r="V30" s="642">
        <f t="shared" si="4"/>
        <v>2</v>
      </c>
    </row>
    <row r="31" spans="1:22" x14ac:dyDescent="0.25">
      <c r="A31" s="1080">
        <v>44895</v>
      </c>
      <c r="B31" s="657" t="str">
        <f t="shared" si="0"/>
        <v>St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654"/>
      <c r="P31" s="1026"/>
      <c r="Q31" s="718"/>
      <c r="R31" s="718"/>
      <c r="S31" s="718"/>
      <c r="T31" s="718"/>
      <c r="U31" s="718"/>
      <c r="V31" s="642">
        <f t="shared" si="4"/>
        <v>3</v>
      </c>
    </row>
    <row r="32" spans="1:22" x14ac:dyDescent="0.25">
      <c r="A32" s="1080">
        <v>44896</v>
      </c>
      <c r="B32" s="657" t="str">
        <f t="shared" si="0"/>
        <v>Čt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718"/>
      <c r="R32" s="718"/>
      <c r="S32" s="718"/>
      <c r="T32" s="718"/>
      <c r="U32" s="718"/>
      <c r="V32" s="642">
        <f t="shared" si="4"/>
        <v>4</v>
      </c>
    </row>
    <row r="33" spans="1:22" x14ac:dyDescent="0.25">
      <c r="A33" s="1080">
        <v>44897</v>
      </c>
      <c r="B33" s="657" t="str">
        <f t="shared" si="0"/>
        <v>Pá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718"/>
      <c r="R33" s="718"/>
      <c r="S33" s="718"/>
      <c r="T33" s="718"/>
      <c r="U33" s="718"/>
      <c r="V33" s="642">
        <f>WEEKDAY(A33,2)</f>
        <v>5</v>
      </c>
    </row>
    <row r="34" spans="1:22" x14ac:dyDescent="0.25">
      <c r="A34" s="1080">
        <v>44898</v>
      </c>
      <c r="B34" s="657" t="str">
        <f t="shared" si="0"/>
        <v>So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718"/>
      <c r="R34" s="718"/>
      <c r="S34" s="718"/>
      <c r="T34" s="718"/>
      <c r="U34" s="718"/>
      <c r="V34" s="642">
        <f t="shared" ref="V34:V35" si="6">WEEKDAY(A34,2)</f>
        <v>6</v>
      </c>
    </row>
    <row r="35" spans="1:22" ht="15.75" thickBot="1" x14ac:dyDescent="0.3">
      <c r="A35" s="1080">
        <v>44899</v>
      </c>
      <c r="B35" s="658" t="str">
        <f t="shared" si="0"/>
        <v>Ne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8"/>
      <c r="L35" s="654"/>
      <c r="M35" s="658"/>
      <c r="N35" s="1087"/>
      <c r="O35" s="655"/>
      <c r="P35" s="1027"/>
      <c r="Q35" s="718"/>
      <c r="R35" s="718"/>
      <c r="S35" s="718"/>
      <c r="T35" s="718"/>
      <c r="U35" s="718"/>
      <c r="V35" s="642">
        <f t="shared" si="6"/>
        <v>7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SUM(C2:C31)</f>
        <v>1.2708333333333333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D9C1B7-BDF7-844C-A994-C802A0D10B26}">
  <sheetPr>
    <tabColor theme="3"/>
  </sheetPr>
  <dimension ref="A1:AK63"/>
  <sheetViews>
    <sheetView topLeftCell="P1" zoomScaleNormal="60" zoomScaleSheetLayoutView="100" workbookViewId="0">
      <selection activeCell="C29" sqref="C29"/>
    </sheetView>
  </sheetViews>
  <sheetFormatPr defaultColWidth="8.5703125" defaultRowHeight="15" x14ac:dyDescent="0.25"/>
  <cols>
    <col min="1" max="1" width="12" bestFit="1" customWidth="1"/>
    <col min="2" max="2" width="7.85546875" bestFit="1" customWidth="1"/>
    <col min="3" max="3" width="11" customWidth="1"/>
    <col min="4" max="4" width="9.140625" bestFit="1" customWidth="1"/>
    <col min="5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16" bestFit="1" customWidth="1"/>
    <col min="18" max="18" width="10.5703125" bestFit="1" customWidth="1"/>
    <col min="19" max="19" width="14" bestFit="1" customWidth="1"/>
    <col min="20" max="20" width="10.28515625" bestFit="1" customWidth="1"/>
    <col min="21" max="21" width="13.140625" customWidth="1"/>
    <col min="22" max="22" width="12.7109375" bestFit="1" customWidth="1"/>
    <col min="23" max="23" width="15.7109375" customWidth="1"/>
    <col min="24" max="24" width="12" customWidth="1"/>
    <col min="25" max="25" width="16.5703125" customWidth="1"/>
    <col min="26" max="26" width="13.42578125" customWidth="1"/>
    <col min="27" max="27" width="24.1406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0.42578125" bestFit="1" customWidth="1"/>
    <col min="32" max="32" width="11.42578125" bestFit="1" customWidth="1"/>
    <col min="33" max="33" width="9.855468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504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517</v>
      </c>
      <c r="R2" s="966" t="s">
        <v>441</v>
      </c>
      <c r="S2" s="967" t="s">
        <v>537</v>
      </c>
      <c r="T2" s="966" t="s">
        <v>442</v>
      </c>
      <c r="U2" s="964" t="s">
        <v>546</v>
      </c>
      <c r="V2" s="966" t="s">
        <v>443</v>
      </c>
      <c r="W2" s="964" t="s">
        <v>556</v>
      </c>
      <c r="X2" s="966" t="s">
        <v>444</v>
      </c>
      <c r="Y2" s="964" t="s">
        <v>495</v>
      </c>
      <c r="Z2" s="966" t="s">
        <v>445</v>
      </c>
      <c r="AA2" s="964" t="s">
        <v>538</v>
      </c>
      <c r="AB2" s="966" t="s">
        <v>446</v>
      </c>
      <c r="AC2" s="964" t="s">
        <v>212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>
        <v>3181.5</v>
      </c>
      <c r="B3" s="979">
        <v>44857</v>
      </c>
      <c r="C3" s="945"/>
      <c r="D3" s="619">
        <v>176.26</v>
      </c>
      <c r="E3" s="979">
        <v>44858</v>
      </c>
      <c r="F3" s="952"/>
      <c r="G3" s="975"/>
      <c r="H3" s="952"/>
      <c r="I3" s="619">
        <v>45</v>
      </c>
      <c r="J3" s="978" t="s">
        <v>581</v>
      </c>
      <c r="K3" s="952"/>
      <c r="L3" s="959"/>
      <c r="M3" s="981"/>
      <c r="N3" s="952"/>
      <c r="O3" s="984">
        <f>AG43-AK6-AI3</f>
        <v>2363.1999999999998</v>
      </c>
      <c r="P3" s="945"/>
      <c r="Q3" s="984">
        <v>100</v>
      </c>
      <c r="R3" s="937">
        <v>44859</v>
      </c>
      <c r="S3" s="986">
        <v>100</v>
      </c>
      <c r="T3" s="938">
        <v>44859</v>
      </c>
      <c r="U3" s="990">
        <v>220</v>
      </c>
      <c r="V3" s="937">
        <v>44829</v>
      </c>
      <c r="W3" s="990">
        <v>100</v>
      </c>
      <c r="X3" s="937">
        <v>44859</v>
      </c>
      <c r="Y3" s="989">
        <v>100</v>
      </c>
      <c r="Z3" s="937">
        <v>44859</v>
      </c>
      <c r="AA3" s="984">
        <v>100</v>
      </c>
      <c r="AB3" s="937">
        <v>44859</v>
      </c>
      <c r="AC3" s="1107">
        <v>200</v>
      </c>
      <c r="AD3" s="1106"/>
      <c r="AE3" s="993"/>
      <c r="AF3" s="997" t="s">
        <v>119</v>
      </c>
      <c r="AG3" s="963">
        <v>1140</v>
      </c>
      <c r="AH3" s="299">
        <v>0</v>
      </c>
      <c r="AI3" s="300">
        <v>200</v>
      </c>
      <c r="AJ3" s="301">
        <f>AH6+AJ6</f>
        <v>6381.8</v>
      </c>
      <c r="AK3" s="302">
        <f>AK6+AI6</f>
        <v>4704.6000000000004</v>
      </c>
    </row>
    <row r="4" spans="1:37" ht="19.5" thickBot="1" x14ac:dyDescent="0.3">
      <c r="A4" s="1139">
        <v>3200.3</v>
      </c>
      <c r="B4" s="979">
        <v>44895</v>
      </c>
      <c r="C4" s="946"/>
      <c r="D4" s="618">
        <v>127.23</v>
      </c>
      <c r="E4" s="979">
        <v>44858</v>
      </c>
      <c r="F4" s="953"/>
      <c r="G4" s="976"/>
      <c r="H4" s="953"/>
      <c r="I4" s="618"/>
      <c r="J4" s="979"/>
      <c r="K4" s="953"/>
      <c r="L4" s="960"/>
      <c r="M4" s="982" t="s">
        <v>580</v>
      </c>
      <c r="N4" s="953">
        <v>112.55</v>
      </c>
      <c r="O4" s="976"/>
      <c r="P4" s="946"/>
      <c r="Q4" s="986">
        <v>50</v>
      </c>
      <c r="R4" s="938"/>
      <c r="S4" s="986">
        <v>50</v>
      </c>
      <c r="T4" s="1071"/>
      <c r="U4" s="1051">
        <v>105</v>
      </c>
      <c r="V4" s="938">
        <v>44859</v>
      </c>
      <c r="W4" s="1051">
        <v>100</v>
      </c>
      <c r="X4" s="938">
        <v>44864</v>
      </c>
      <c r="Y4" s="990">
        <v>50</v>
      </c>
      <c r="Z4" s="938">
        <v>44865</v>
      </c>
      <c r="AA4" s="986">
        <v>50</v>
      </c>
      <c r="AB4" s="938">
        <v>44865</v>
      </c>
      <c r="AC4" s="1050"/>
      <c r="AD4" s="1071"/>
      <c r="AE4" s="994"/>
      <c r="AF4" s="997">
        <v>44859</v>
      </c>
      <c r="AG4" s="963">
        <v>1500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1139"/>
      <c r="B5" s="979"/>
      <c r="C5" s="946"/>
      <c r="D5" s="618"/>
      <c r="E5" s="979">
        <v>44865</v>
      </c>
      <c r="F5" s="953">
        <v>200</v>
      </c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986">
        <v>100</v>
      </c>
      <c r="R5" s="938">
        <v>44872</v>
      </c>
      <c r="S5" s="986">
        <v>100</v>
      </c>
      <c r="T5" s="1071">
        <v>44872</v>
      </c>
      <c r="U5" s="1051">
        <v>100</v>
      </c>
      <c r="V5" s="938" t="s">
        <v>242</v>
      </c>
      <c r="W5" s="1051">
        <v>100</v>
      </c>
      <c r="X5" s="938">
        <v>44872</v>
      </c>
      <c r="Y5" s="990"/>
      <c r="Z5" s="938"/>
      <c r="AA5" s="986">
        <v>100</v>
      </c>
      <c r="AB5" s="938">
        <v>44872</v>
      </c>
      <c r="AC5" s="1050"/>
      <c r="AD5" s="1071"/>
      <c r="AE5" s="994"/>
      <c r="AF5" s="997" t="s">
        <v>558</v>
      </c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1139"/>
      <c r="B6" s="979"/>
      <c r="C6" s="946"/>
      <c r="D6" s="618"/>
      <c r="E6" s="979"/>
      <c r="F6" s="953"/>
      <c r="G6" s="976"/>
      <c r="H6" s="953"/>
      <c r="I6" s="618"/>
      <c r="J6" s="979"/>
      <c r="K6" s="953"/>
      <c r="L6" s="960"/>
      <c r="M6" s="982" t="s">
        <v>576</v>
      </c>
      <c r="N6" s="953">
        <v>63</v>
      </c>
      <c r="O6" s="976"/>
      <c r="P6" s="946"/>
      <c r="Q6" s="986">
        <v>50</v>
      </c>
      <c r="R6" s="938"/>
      <c r="S6" s="986">
        <v>70</v>
      </c>
      <c r="T6" s="1071"/>
      <c r="U6" s="1070">
        <v>50</v>
      </c>
      <c r="V6" s="1068">
        <v>44864</v>
      </c>
      <c r="W6" s="1051">
        <v>100</v>
      </c>
      <c r="X6" s="938"/>
      <c r="Y6" s="990"/>
      <c r="Z6" s="938"/>
      <c r="AA6" s="986">
        <v>50</v>
      </c>
      <c r="AB6" s="938"/>
      <c r="AC6" s="1050"/>
      <c r="AD6" s="1071"/>
      <c r="AE6" s="994"/>
      <c r="AF6" s="997">
        <v>44858</v>
      </c>
      <c r="AG6" s="963">
        <v>20</v>
      </c>
      <c r="AH6" s="612">
        <f>A43+L43</f>
        <v>6381.8</v>
      </c>
      <c r="AI6" s="317">
        <f>D43+H43+K43+N44</f>
        <v>557.79999999999995</v>
      </c>
      <c r="AJ6" s="128">
        <f>L44+C43</f>
        <v>0</v>
      </c>
      <c r="AK6" s="129">
        <f>F43+G43+I43+M44+Q43+S43+W43+Y43+AA43+AC43+Y47+Y51+AA47+AA51+AC47+AC51+U48+Y55+AA55</f>
        <v>4146.8</v>
      </c>
    </row>
    <row r="7" spans="1:37" ht="19.5" thickBot="1" x14ac:dyDescent="0.3">
      <c r="A7" s="1139"/>
      <c r="B7" s="979"/>
      <c r="C7" s="946"/>
      <c r="D7" s="618"/>
      <c r="E7" s="979">
        <v>44872</v>
      </c>
      <c r="F7" s="953">
        <v>146.66</v>
      </c>
      <c r="G7" s="976"/>
      <c r="H7" s="953"/>
      <c r="I7" s="618"/>
      <c r="J7" s="979"/>
      <c r="K7" s="953"/>
      <c r="L7" s="960"/>
      <c r="M7" s="982" t="s">
        <v>577</v>
      </c>
      <c r="N7" s="953">
        <v>26.35</v>
      </c>
      <c r="O7" s="976"/>
      <c r="P7" s="946"/>
      <c r="Q7" s="986">
        <v>100</v>
      </c>
      <c r="R7" s="938">
        <v>44893</v>
      </c>
      <c r="S7" s="986">
        <v>50</v>
      </c>
      <c r="T7" s="938"/>
      <c r="U7" s="1070">
        <v>10</v>
      </c>
      <c r="V7" s="1068" t="s">
        <v>294</v>
      </c>
      <c r="W7" s="990">
        <v>100</v>
      </c>
      <c r="X7" s="938">
        <v>44886</v>
      </c>
      <c r="Y7" s="1123" t="s">
        <v>566</v>
      </c>
      <c r="Z7" s="1053" t="s">
        <v>47</v>
      </c>
      <c r="AA7" s="1124" t="s">
        <v>565</v>
      </c>
      <c r="AB7" s="1056" t="s">
        <v>47</v>
      </c>
      <c r="AC7" s="1050"/>
      <c r="AD7" s="1071"/>
      <c r="AE7" s="994"/>
      <c r="AF7" s="997" t="s">
        <v>561</v>
      </c>
      <c r="AG7" s="963">
        <v>1500</v>
      </c>
      <c r="AH7" s="613" t="s">
        <v>66</v>
      </c>
      <c r="AI7" s="321" t="s">
        <v>67</v>
      </c>
    </row>
    <row r="8" spans="1:37" x14ac:dyDescent="0.25">
      <c r="A8" s="1139"/>
      <c r="B8" s="979"/>
      <c r="C8" s="946"/>
      <c r="D8" s="618"/>
      <c r="E8" s="979">
        <v>44881</v>
      </c>
      <c r="F8" s="953">
        <v>139.07</v>
      </c>
      <c r="G8" s="976"/>
      <c r="H8" s="953"/>
      <c r="I8" s="618"/>
      <c r="J8" s="979"/>
      <c r="K8" s="953"/>
      <c r="L8" s="960"/>
      <c r="M8" s="982" t="s">
        <v>578</v>
      </c>
      <c r="N8" s="963">
        <v>7</v>
      </c>
      <c r="O8" s="976"/>
      <c r="P8" s="946"/>
      <c r="Q8" s="986"/>
      <c r="R8" s="938"/>
      <c r="S8" s="986">
        <v>50</v>
      </c>
      <c r="T8" s="938"/>
      <c r="U8" s="1051">
        <v>50</v>
      </c>
      <c r="V8" s="938">
        <v>44865</v>
      </c>
      <c r="W8" s="990">
        <v>100</v>
      </c>
      <c r="X8" s="938">
        <v>44894</v>
      </c>
      <c r="Y8" s="1136">
        <v>1000</v>
      </c>
      <c r="Z8" s="938">
        <v>44880</v>
      </c>
      <c r="AA8" s="986">
        <v>100</v>
      </c>
      <c r="AB8" s="938">
        <v>44884</v>
      </c>
      <c r="AC8" s="1050"/>
      <c r="AD8" s="1071"/>
      <c r="AE8" s="994"/>
      <c r="AF8" s="997" t="s">
        <v>407</v>
      </c>
      <c r="AG8" s="963">
        <v>800</v>
      </c>
      <c r="AH8" s="326">
        <v>0</v>
      </c>
      <c r="AI8" s="327">
        <f>E43</f>
        <v>0</v>
      </c>
    </row>
    <row r="9" spans="1:37" ht="15.75" thickBot="1" x14ac:dyDescent="0.3">
      <c r="A9" s="1139"/>
      <c r="B9" s="979"/>
      <c r="C9" s="946"/>
      <c r="D9" s="618">
        <v>147.01</v>
      </c>
      <c r="E9" s="979">
        <v>44889</v>
      </c>
      <c r="F9" s="953"/>
      <c r="G9" s="976"/>
      <c r="H9" s="953"/>
      <c r="I9" s="618"/>
      <c r="J9" s="979"/>
      <c r="K9" s="953"/>
      <c r="L9" s="960"/>
      <c r="M9" s="982" t="s">
        <v>579</v>
      </c>
      <c r="N9" s="953">
        <v>10.95</v>
      </c>
      <c r="O9" s="976"/>
      <c r="P9" s="946"/>
      <c r="Q9" s="986"/>
      <c r="R9" s="938"/>
      <c r="S9" s="986">
        <v>50</v>
      </c>
      <c r="T9" s="938">
        <v>44893</v>
      </c>
      <c r="U9" s="990">
        <v>50</v>
      </c>
      <c r="V9" s="938">
        <v>44872</v>
      </c>
      <c r="W9" s="990"/>
      <c r="X9" s="938"/>
      <c r="Y9" s="990">
        <v>800</v>
      </c>
      <c r="Z9" s="938">
        <v>44880</v>
      </c>
      <c r="AA9" s="986"/>
      <c r="AB9" s="938"/>
      <c r="AC9" s="1050"/>
      <c r="AD9" s="1071"/>
      <c r="AE9" s="994">
        <v>7000</v>
      </c>
      <c r="AF9" s="997" t="s">
        <v>407</v>
      </c>
      <c r="AG9" s="963"/>
      <c r="AH9" s="1244">
        <f>AH8-AI8</f>
        <v>0</v>
      </c>
      <c r="AI9" s="1222"/>
    </row>
    <row r="10" spans="1:37" x14ac:dyDescent="0.25">
      <c r="A10" s="1140"/>
      <c r="B10" s="979"/>
      <c r="C10" s="1060"/>
      <c r="D10" s="663"/>
      <c r="E10" s="979">
        <v>44894</v>
      </c>
      <c r="F10" s="1061">
        <v>142.57</v>
      </c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/>
      <c r="R10" s="1068"/>
      <c r="S10" s="1069">
        <v>30</v>
      </c>
      <c r="T10" s="1068">
        <v>44893</v>
      </c>
      <c r="U10" s="1051">
        <v>20</v>
      </c>
      <c r="V10" s="1071"/>
      <c r="W10" s="1051"/>
      <c r="X10" s="1071"/>
      <c r="Y10" s="991"/>
      <c r="Z10" s="938"/>
      <c r="AA10" s="986"/>
      <c r="AB10" s="1071"/>
      <c r="AC10" s="1050"/>
      <c r="AD10" s="1071"/>
      <c r="AE10" s="994"/>
      <c r="AF10" s="1073">
        <v>44884</v>
      </c>
      <c r="AG10" s="963">
        <v>750</v>
      </c>
      <c r="AH10" s="610"/>
      <c r="AI10" s="1052"/>
    </row>
    <row r="11" spans="1:37" x14ac:dyDescent="0.25">
      <c r="A11" s="1140"/>
      <c r="B11" s="979"/>
      <c r="C11" s="1060"/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62"/>
      <c r="R11" s="1068"/>
      <c r="S11" s="1069"/>
      <c r="T11" s="1068"/>
      <c r="U11" s="1051">
        <v>50</v>
      </c>
      <c r="V11" s="1071"/>
      <c r="W11" s="1051"/>
      <c r="X11" s="1071"/>
      <c r="Y11" s="991"/>
      <c r="Z11" s="938"/>
      <c r="AA11" s="986"/>
      <c r="AB11" s="1071"/>
      <c r="AC11" s="1050"/>
      <c r="AD11" s="1071"/>
      <c r="AE11" s="994"/>
      <c r="AF11" s="1073"/>
      <c r="AG11" s="963">
        <v>500</v>
      </c>
      <c r="AH11" s="610"/>
      <c r="AI11" s="1052"/>
    </row>
    <row r="12" spans="1:37" x14ac:dyDescent="0.25">
      <c r="A12" s="1140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62"/>
      <c r="R12" s="1068"/>
      <c r="S12" s="1069"/>
      <c r="T12" s="1068"/>
      <c r="U12" s="1070">
        <v>20</v>
      </c>
      <c r="V12" s="1068">
        <v>44881</v>
      </c>
      <c r="W12" s="1051"/>
      <c r="X12" s="1071"/>
      <c r="Y12" s="991"/>
      <c r="Z12" s="938"/>
      <c r="AA12" s="986"/>
      <c r="AB12" s="1071"/>
      <c r="AC12" s="1050"/>
      <c r="AD12" s="1071"/>
      <c r="AE12" s="994"/>
      <c r="AF12" s="1073"/>
      <c r="AG12" s="963"/>
      <c r="AH12" s="610"/>
      <c r="AI12" s="1052"/>
    </row>
    <row r="13" spans="1:37" x14ac:dyDescent="0.25">
      <c r="A13" s="1140"/>
      <c r="B13" s="979"/>
      <c r="C13" s="1060"/>
      <c r="D13" s="1119"/>
      <c r="E13" s="1120"/>
      <c r="F13" s="112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62"/>
      <c r="R13" s="1068"/>
      <c r="S13" s="1069"/>
      <c r="T13" s="1068"/>
      <c r="U13" s="1070">
        <v>10</v>
      </c>
      <c r="V13" s="1068">
        <v>44883</v>
      </c>
      <c r="W13" s="1051"/>
      <c r="X13" s="1071"/>
      <c r="Y13" s="991"/>
      <c r="Z13" s="938"/>
      <c r="AA13" s="986"/>
      <c r="AB13" s="1071"/>
      <c r="AC13" s="1050"/>
      <c r="AD13" s="1071"/>
      <c r="AE13" s="1072"/>
      <c r="AF13" s="1073"/>
      <c r="AG13" s="963"/>
      <c r="AH13" s="610"/>
      <c r="AI13" s="1052"/>
    </row>
    <row r="14" spans="1:37" x14ac:dyDescent="0.25">
      <c r="A14" s="1139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>
        <v>50</v>
      </c>
      <c r="V14" s="938">
        <v>44884</v>
      </c>
      <c r="W14" s="990"/>
      <c r="X14" s="938"/>
      <c r="Y14" s="990"/>
      <c r="Z14" s="938"/>
      <c r="AA14" s="976"/>
      <c r="AB14" s="938"/>
      <c r="AC14" s="1050"/>
      <c r="AD14" s="1071"/>
      <c r="AE14" s="994"/>
      <c r="AF14" s="997"/>
      <c r="AG14" s="963"/>
      <c r="AH14" s="610"/>
    </row>
    <row r="15" spans="1:37" ht="18.75" x14ac:dyDescent="0.25">
      <c r="A15" s="1139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986">
        <v>50</v>
      </c>
      <c r="V15" s="938">
        <v>44887</v>
      </c>
      <c r="W15" s="990"/>
      <c r="X15" s="938"/>
      <c r="Y15" s="1123" t="s">
        <v>557</v>
      </c>
      <c r="Z15" s="1054" t="s">
        <v>47</v>
      </c>
      <c r="AA15" s="1124" t="s">
        <v>567</v>
      </c>
      <c r="AB15" s="1054" t="s">
        <v>47</v>
      </c>
      <c r="AC15" s="1123">
        <v>8</v>
      </c>
      <c r="AD15" s="1054" t="s">
        <v>47</v>
      </c>
      <c r="AE15" s="994"/>
      <c r="AF15" s="997"/>
      <c r="AG15" s="963"/>
      <c r="AH15" s="610"/>
    </row>
    <row r="16" spans="1:37" x14ac:dyDescent="0.25">
      <c r="A16" s="1139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>
        <v>20</v>
      </c>
      <c r="V16" s="938">
        <v>44894</v>
      </c>
      <c r="W16" s="990"/>
      <c r="X16" s="938"/>
      <c r="Y16" s="990">
        <v>100</v>
      </c>
      <c r="Z16" s="938">
        <v>44859</v>
      </c>
      <c r="AA16" s="986">
        <v>20</v>
      </c>
      <c r="AB16" s="938">
        <v>44893</v>
      </c>
      <c r="AC16" s="990"/>
      <c r="AD16" s="938"/>
      <c r="AE16" s="994"/>
      <c r="AF16" s="997"/>
      <c r="AG16" s="963"/>
      <c r="AH16" s="610"/>
    </row>
    <row r="17" spans="1:34" x14ac:dyDescent="0.25">
      <c r="A17" s="659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62"/>
      <c r="R17" s="1068"/>
      <c r="S17" s="1069"/>
      <c r="T17" s="1068"/>
      <c r="U17" s="1070">
        <v>20</v>
      </c>
      <c r="V17" s="1068">
        <v>44894</v>
      </c>
      <c r="W17" s="1051"/>
      <c r="X17" s="938"/>
      <c r="Y17" s="990"/>
      <c r="Z17" s="938"/>
      <c r="AA17" s="986">
        <v>80</v>
      </c>
      <c r="AB17" s="1071">
        <v>44894</v>
      </c>
      <c r="AC17" s="1051"/>
      <c r="AD17" s="1071"/>
      <c r="AE17" s="1072"/>
      <c r="AF17" s="1073"/>
      <c r="AG17" s="963"/>
      <c r="AH17" s="610"/>
    </row>
    <row r="18" spans="1:34" x14ac:dyDescent="0.25">
      <c r="A18" s="659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62"/>
      <c r="R18" s="1068"/>
      <c r="S18" s="1069"/>
      <c r="T18" s="1068"/>
      <c r="U18" s="1070"/>
      <c r="V18" s="1068"/>
      <c r="W18" s="1051"/>
      <c r="X18" s="938"/>
      <c r="Y18" s="990"/>
      <c r="Z18" s="938"/>
      <c r="AA18" s="986"/>
      <c r="AB18" s="1071"/>
      <c r="AC18" s="1051"/>
      <c r="AD18" s="1071"/>
      <c r="AE18" s="1072"/>
      <c r="AF18" s="1073"/>
      <c r="AG18" s="963"/>
      <c r="AH18" s="610"/>
    </row>
    <row r="19" spans="1:34" x14ac:dyDescent="0.25">
      <c r="A19" s="659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62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1"/>
      <c r="AD19" s="1071"/>
      <c r="AE19" s="1072"/>
      <c r="AF19" s="1073"/>
      <c r="AG19" s="963"/>
      <c r="AH19" s="610"/>
    </row>
    <row r="20" spans="1:34" x14ac:dyDescent="0.25">
      <c r="A20" s="681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0"/>
      <c r="X20" s="938"/>
      <c r="Y20" s="990"/>
      <c r="Z20" s="938"/>
      <c r="AA20" s="986"/>
      <c r="AB20" s="938"/>
      <c r="AC20" s="990"/>
      <c r="AD20" s="938"/>
      <c r="AE20" s="994"/>
      <c r="AF20" s="997"/>
      <c r="AG20" s="963"/>
      <c r="AH20" s="610"/>
    </row>
    <row r="21" spans="1:34" x14ac:dyDescent="0.25">
      <c r="A21" s="681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0"/>
      <c r="X21" s="938"/>
      <c r="Y21" s="990"/>
      <c r="Z21" s="938"/>
      <c r="AA21" s="986"/>
      <c r="AB21" s="938"/>
      <c r="AC21" s="990"/>
      <c r="AD21" s="938"/>
      <c r="AE21" s="994"/>
      <c r="AF21" s="997"/>
      <c r="AG21" s="963"/>
      <c r="AH21" s="610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0"/>
      <c r="AD22" s="938"/>
      <c r="AE22" s="994"/>
      <c r="AF22" s="997"/>
      <c r="AG22" s="963"/>
      <c r="AH22" s="610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86"/>
      <c r="AB23" s="938"/>
      <c r="AC23" s="991"/>
      <c r="AD23" s="938"/>
      <c r="AE23" s="994"/>
      <c r="AF23" s="997"/>
      <c r="AG23" s="963"/>
      <c r="AH23" s="610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63"/>
      <c r="AH24" s="1109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63"/>
      <c r="AH25" s="610"/>
    </row>
    <row r="26" spans="1:34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63"/>
      <c r="AH26" s="610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63"/>
      <c r="AH27" s="614"/>
    </row>
    <row r="28" spans="1:34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9</v>
      </c>
      <c r="Z28" s="1054" t="s">
        <v>47</v>
      </c>
      <c r="AA28" s="1125">
        <v>10</v>
      </c>
      <c r="AB28" s="1054" t="s">
        <v>47</v>
      </c>
      <c r="AC28" s="1125">
        <v>11</v>
      </c>
      <c r="AD28" s="1054" t="s">
        <v>47</v>
      </c>
      <c r="AE28" s="994"/>
      <c r="AF28" s="997"/>
      <c r="AG28" s="963"/>
      <c r="AH28" s="614"/>
    </row>
    <row r="29" spans="1:34" x14ac:dyDescent="0.25">
      <c r="A29" s="681"/>
      <c r="B29" s="979"/>
      <c r="C29" s="946"/>
      <c r="D29" s="618"/>
      <c r="E29" s="979"/>
      <c r="F29" s="953"/>
      <c r="G29" s="976"/>
      <c r="H29" s="953"/>
      <c r="I29" s="618"/>
      <c r="J29" s="979"/>
      <c r="K29" s="953"/>
      <c r="L29" s="960"/>
      <c r="M29" s="982"/>
      <c r="N29" s="953"/>
      <c r="O29" s="976"/>
      <c r="P29" s="946"/>
      <c r="Q29" s="986"/>
      <c r="R29" s="938"/>
      <c r="S29" s="976"/>
      <c r="T29" s="938"/>
      <c r="U29" s="986"/>
      <c r="V29" s="938"/>
      <c r="W29" s="991"/>
      <c r="X29" s="938"/>
      <c r="Y29" s="990"/>
      <c r="Z29" s="938"/>
      <c r="AA29" s="986"/>
      <c r="AB29" s="938"/>
      <c r="AC29" s="990"/>
      <c r="AD29" s="938"/>
      <c r="AE29" s="994"/>
      <c r="AF29" s="997"/>
      <c r="AG29" s="963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0"/>
      <c r="Z30" s="938"/>
      <c r="AA30" s="986"/>
      <c r="AB30" s="938"/>
      <c r="AC30" s="990"/>
      <c r="AD30" s="938"/>
      <c r="AE30" s="994"/>
      <c r="AF30" s="997"/>
      <c r="AG30" s="96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0"/>
      <c r="AD31" s="938"/>
      <c r="AE31" s="994"/>
      <c r="AF31" s="997"/>
      <c r="AG31" s="96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76"/>
      <c r="AB32" s="938"/>
      <c r="AC32" s="991"/>
      <c r="AD32" s="938"/>
      <c r="AE32" s="994"/>
      <c r="AF32" s="997"/>
      <c r="AG32" s="96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86"/>
      <c r="AB35" s="938"/>
      <c r="AC35" s="991"/>
      <c r="AD35" s="938"/>
      <c r="AE35" s="994"/>
      <c r="AF35" s="997"/>
      <c r="AG35" s="96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76"/>
      <c r="AB37" s="938"/>
      <c r="AC37" s="991"/>
      <c r="AD37" s="938"/>
      <c r="AE37" s="994"/>
      <c r="AF37" s="997"/>
      <c r="AG37" s="96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86"/>
      <c r="AB39" s="938"/>
      <c r="AC39" s="991"/>
      <c r="AD39" s="938"/>
      <c r="AE39" s="994"/>
      <c r="AF39" s="997"/>
      <c r="AG39" s="96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4" ht="15.75" thickBot="1" x14ac:dyDescent="0.3">
      <c r="A41" s="682"/>
      <c r="B41" s="1000"/>
      <c r="C41" s="948"/>
      <c r="D41" s="675"/>
      <c r="E41" s="999"/>
      <c r="F41" s="954"/>
      <c r="G41" s="977"/>
      <c r="H41" s="954"/>
      <c r="I41" s="624"/>
      <c r="J41" s="980"/>
      <c r="K41" s="958"/>
      <c r="L41" s="961"/>
      <c r="M41" s="983"/>
      <c r="N41" s="954"/>
      <c r="O41" s="985"/>
      <c r="P41" s="947"/>
      <c r="Q41" s="987"/>
      <c r="R41" s="939"/>
      <c r="S41" s="988"/>
      <c r="T41" s="940"/>
      <c r="U41" s="987"/>
      <c r="V41" s="939"/>
      <c r="W41" s="992"/>
      <c r="X41" s="939"/>
      <c r="Y41" s="992"/>
      <c r="Z41" s="939"/>
      <c r="AA41" s="987"/>
      <c r="AB41" s="939"/>
      <c r="AC41" s="992"/>
      <c r="AD41" s="939"/>
      <c r="AE41" s="995"/>
      <c r="AF41" s="998"/>
      <c r="AG41" s="1108"/>
      <c r="AH41" s="614"/>
    </row>
    <row r="42" spans="1:34" ht="15.75" thickBot="1" x14ac:dyDescent="0.3">
      <c r="A42" s="1285" t="s">
        <v>102</v>
      </c>
      <c r="B42" s="1284"/>
      <c r="C42" s="1277"/>
      <c r="D42" s="669" t="s">
        <v>103</v>
      </c>
      <c r="E42" s="669" t="s">
        <v>61</v>
      </c>
      <c r="F42" s="955" t="s">
        <v>103</v>
      </c>
      <c r="G42" s="1276" t="s">
        <v>103</v>
      </c>
      <c r="H42" s="1277"/>
      <c r="I42" s="1286" t="s">
        <v>102</v>
      </c>
      <c r="J42" s="1287"/>
      <c r="K42" s="1288"/>
      <c r="L42" s="1283" t="s">
        <v>102</v>
      </c>
      <c r="M42" s="1284"/>
      <c r="N42" s="1277"/>
      <c r="O42" s="1286" t="s">
        <v>104</v>
      </c>
      <c r="P42" s="1288"/>
      <c r="Q42" s="1276" t="s">
        <v>104</v>
      </c>
      <c r="R42" s="1277"/>
      <c r="S42" s="1276" t="s">
        <v>104</v>
      </c>
      <c r="T42" s="1277"/>
      <c r="U42" s="1276" t="s">
        <v>104</v>
      </c>
      <c r="V42" s="1277"/>
      <c r="W42" s="1276" t="s">
        <v>104</v>
      </c>
      <c r="X42" s="1277"/>
      <c r="Y42" s="1276" t="s">
        <v>104</v>
      </c>
      <c r="Z42" s="1277"/>
      <c r="AA42" s="1276" t="s">
        <v>102</v>
      </c>
      <c r="AB42" s="1277"/>
      <c r="AC42" s="1276" t="s">
        <v>102</v>
      </c>
      <c r="AD42" s="1277"/>
      <c r="AE42" s="1283" t="s">
        <v>102</v>
      </c>
      <c r="AF42" s="1284"/>
      <c r="AG42" s="1277"/>
      <c r="AH42" s="614"/>
    </row>
    <row r="43" spans="1:34" x14ac:dyDescent="0.25">
      <c r="A43" s="872">
        <f>SUM(A3:A41)</f>
        <v>6381.8</v>
      </c>
      <c r="B43" s="626"/>
      <c r="C43" s="949">
        <f>SUM(C3:C41)</f>
        <v>0</v>
      </c>
      <c r="D43" s="950">
        <f>SUM(D3:D41)</f>
        <v>450.5</v>
      </c>
      <c r="E43" s="629">
        <v>0</v>
      </c>
      <c r="F43" s="956">
        <f>SUM(F3:F41)</f>
        <v>628.29999999999995</v>
      </c>
      <c r="G43" s="936">
        <f>SUM(G3:G41)</f>
        <v>0</v>
      </c>
      <c r="H43" s="957">
        <f>SUM(H3:H41)</f>
        <v>0</v>
      </c>
      <c r="I43" s="936">
        <f>SUM(I3:I41)</f>
        <v>45</v>
      </c>
      <c r="J43" s="629"/>
      <c r="K43" s="957">
        <f>SUM(K3:K41)</f>
        <v>0</v>
      </c>
      <c r="L43" s="962">
        <f>SUM(L3:L41)</f>
        <v>0</v>
      </c>
      <c r="M43" s="873" t="s">
        <v>49</v>
      </c>
      <c r="N43" s="956" t="s">
        <v>46</v>
      </c>
      <c r="O43" s="1045">
        <f>O3+O5</f>
        <v>2363.1999999999998</v>
      </c>
      <c r="P43" s="1078" t="s">
        <v>395</v>
      </c>
      <c r="Q43" s="1045">
        <f>SUM(Q3:Q41)</f>
        <v>400</v>
      </c>
      <c r="R43" s="1078" t="str">
        <f>Q2</f>
        <v>Pavel Zoula</v>
      </c>
      <c r="S43" s="1045">
        <f>SUM(S3:S41)</f>
        <v>500</v>
      </c>
      <c r="T43" s="1105" t="str">
        <f>S2</f>
        <v>Karel Havel</v>
      </c>
      <c r="U43" s="1045">
        <f>SUM(U3:U41)</f>
        <v>825</v>
      </c>
      <c r="V43" s="1078" t="str">
        <f>U2</f>
        <v>Ondřej Klimeš</v>
      </c>
      <c r="W43" s="1045">
        <f>SUM(W3:W41)</f>
        <v>600</v>
      </c>
      <c r="X43" s="1078" t="str">
        <f>W2</f>
        <v>Kryštof Šplouchal</v>
      </c>
      <c r="Y43" s="1045">
        <f>SUM(Y3:Y6)</f>
        <v>150</v>
      </c>
      <c r="Z43" s="1078" t="str">
        <f>Y2</f>
        <v>Erik Maloň</v>
      </c>
      <c r="AA43" s="1045">
        <f>AA3+AA4+AA5+AA6+AA8+AA9+AA10+AA11</f>
        <v>400</v>
      </c>
      <c r="AB43" s="1078" t="str">
        <f>AA2</f>
        <v>Pavel Potůček</v>
      </c>
      <c r="AC43" s="1045">
        <f>SUM(AC3:AC14)</f>
        <v>200</v>
      </c>
      <c r="AD43" s="1078" t="str">
        <f>AC2</f>
        <v>Ivan</v>
      </c>
      <c r="AE43" s="962">
        <f>SUM(AE3:AE41)</f>
        <v>7000</v>
      </c>
      <c r="AF43" s="629"/>
      <c r="AG43" s="957">
        <f>SUM(AG3:AG41)</f>
        <v>6710</v>
      </c>
      <c r="AH43" s="614"/>
    </row>
    <row r="44" spans="1:34" x14ac:dyDescent="0.25">
      <c r="A44" s="634"/>
      <c r="B44" s="635"/>
      <c r="C44" s="935"/>
      <c r="D44" s="951"/>
      <c r="E44" s="635"/>
      <c r="F44" s="935"/>
      <c r="G44" s="951"/>
      <c r="H44" s="935"/>
      <c r="I44" s="951"/>
      <c r="J44" s="635"/>
      <c r="K44" s="935"/>
      <c r="L44" s="951"/>
      <c r="M44" s="1058">
        <f>N4+N9</f>
        <v>123.5</v>
      </c>
      <c r="N44" s="1059">
        <f>N6+N7+N8+N9</f>
        <v>107.3</v>
      </c>
      <c r="O44" s="1023">
        <v>200</v>
      </c>
      <c r="P44" s="935" t="s">
        <v>554</v>
      </c>
      <c r="Q44" s="1023">
        <v>100</v>
      </c>
      <c r="R44" s="935" t="str">
        <f>P44</f>
        <v>Říjen</v>
      </c>
      <c r="S44" s="1023">
        <v>100</v>
      </c>
      <c r="T44" s="935" t="str">
        <f>P44</f>
        <v>Říjen</v>
      </c>
      <c r="U44" s="1023">
        <v>300</v>
      </c>
      <c r="V44" s="935" t="str">
        <f>P44</f>
        <v>Říjen</v>
      </c>
      <c r="W44" s="1024">
        <v>100</v>
      </c>
      <c r="X44" s="935" t="str">
        <f>P44</f>
        <v>Říjen</v>
      </c>
      <c r="Y44" s="1024">
        <v>150</v>
      </c>
      <c r="Z44" s="935" t="str">
        <f>P44</f>
        <v>Říjen</v>
      </c>
      <c r="AA44" s="1024">
        <v>100</v>
      </c>
      <c r="AB44" s="935" t="str">
        <f>P44</f>
        <v>Říjen</v>
      </c>
      <c r="AC44" s="1024"/>
      <c r="AD44" s="935" t="str">
        <f>P44</f>
        <v>Říjen</v>
      </c>
      <c r="AE44" s="951"/>
      <c r="AF44" s="635"/>
      <c r="AG44" s="935"/>
      <c r="AH44" s="614"/>
    </row>
    <row r="45" spans="1:34" ht="15.75" thickBot="1" x14ac:dyDescent="0.3">
      <c r="A45" s="969"/>
      <c r="B45" s="970"/>
      <c r="C45" s="971"/>
      <c r="D45" s="972"/>
      <c r="E45" s="970"/>
      <c r="F45" s="971"/>
      <c r="G45" s="972"/>
      <c r="H45" s="971"/>
      <c r="I45" s="972"/>
      <c r="J45" s="970"/>
      <c r="K45" s="971"/>
      <c r="L45" s="972"/>
      <c r="M45" s="970"/>
      <c r="N45" s="971"/>
      <c r="O45" s="973">
        <f>O43-O44</f>
        <v>2163.1999999999998</v>
      </c>
      <c r="P45" s="971" t="s">
        <v>437</v>
      </c>
      <c r="Q45" s="973">
        <f>Q43-Q44</f>
        <v>300</v>
      </c>
      <c r="R45" s="971" t="str">
        <f>P45</f>
        <v>Listopad</v>
      </c>
      <c r="S45" s="973">
        <f>S43-S44</f>
        <v>400</v>
      </c>
      <c r="T45" s="971" t="str">
        <f>P45</f>
        <v>Listopad</v>
      </c>
      <c r="U45" s="973">
        <f>U43-U44</f>
        <v>525</v>
      </c>
      <c r="V45" s="971" t="str">
        <f>P45</f>
        <v>Listopad</v>
      </c>
      <c r="W45" s="974">
        <f>W43-W44</f>
        <v>500</v>
      </c>
      <c r="X45" s="971" t="str">
        <f>P45</f>
        <v>Listopad</v>
      </c>
      <c r="Y45" s="974">
        <f>Y43-Y44</f>
        <v>0</v>
      </c>
      <c r="Z45" s="971" t="str">
        <f>P45</f>
        <v>Listopad</v>
      </c>
      <c r="AA45" s="974">
        <f>AA43-AA44</f>
        <v>300</v>
      </c>
      <c r="AB45" s="971" t="str">
        <f>P45</f>
        <v>Listopad</v>
      </c>
      <c r="AC45" s="1022"/>
      <c r="AD45" s="971" t="str">
        <f>P45</f>
        <v>Listopad</v>
      </c>
      <c r="AE45" s="972"/>
      <c r="AF45" s="970"/>
      <c r="AG45" s="971"/>
      <c r="AH45" s="614"/>
    </row>
    <row r="46" spans="1:34" ht="16.5" thickTop="1" thickBot="1" x14ac:dyDescent="0.3">
      <c r="A46" s="1111"/>
      <c r="B46" s="1111"/>
      <c r="C46" s="1111"/>
      <c r="D46" s="1111"/>
      <c r="E46" s="1111"/>
      <c r="F46" s="1111"/>
      <c r="G46" s="1111"/>
      <c r="H46" s="1111"/>
      <c r="I46" s="1111"/>
      <c r="J46" s="1111"/>
      <c r="K46" s="1111"/>
      <c r="L46" s="1111"/>
      <c r="M46" s="1111"/>
      <c r="N46" s="1111"/>
      <c r="O46" s="1112">
        <f>O43-O44-O45</f>
        <v>0</v>
      </c>
      <c r="P46" s="1111" t="s">
        <v>555</v>
      </c>
      <c r="Q46" s="1023">
        <f>Q43-Q44-Q45</f>
        <v>0</v>
      </c>
      <c r="R46" s="935" t="str">
        <f>P46</f>
        <v>Prosinec</v>
      </c>
      <c r="S46" s="1117">
        <f>S43-S44-S45</f>
        <v>0</v>
      </c>
      <c r="T46" s="935" t="str">
        <f>P46</f>
        <v>Prosinec</v>
      </c>
      <c r="U46" s="1023"/>
      <c r="V46" s="935" t="str">
        <f>P46</f>
        <v>Prosinec</v>
      </c>
      <c r="W46" s="886">
        <f>W43-W44-W45</f>
        <v>0</v>
      </c>
      <c r="X46" s="935" t="str">
        <f>P46</f>
        <v>Prosinec</v>
      </c>
      <c r="Y46" s="1114"/>
      <c r="Z46" s="1113" t="str">
        <f>P46</f>
        <v>Prosinec</v>
      </c>
      <c r="AA46" s="1114"/>
      <c r="AB46" s="1113" t="str">
        <f>P46</f>
        <v>Prosinec</v>
      </c>
      <c r="AC46" s="1115"/>
      <c r="AD46" s="1113" t="str">
        <f>P46</f>
        <v>Prosinec</v>
      </c>
      <c r="AE46" s="1111"/>
      <c r="AF46" s="1111"/>
      <c r="AG46" s="1111"/>
      <c r="AH46" s="614"/>
    </row>
    <row r="47" spans="1:34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610"/>
      <c r="P47" s="610"/>
      <c r="Y47" s="1074">
        <f>SUM(Y16:Y27)</f>
        <v>100</v>
      </c>
      <c r="Z47" s="1078" t="str">
        <f>Y15</f>
        <v>Ondřej Pitka</v>
      </c>
      <c r="AA47" s="1045">
        <f>SUM(AA16:AA27)</f>
        <v>100</v>
      </c>
      <c r="AB47" s="1078" t="str">
        <f>AA15</f>
        <v>Tomáš Ryšavý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4" x14ac:dyDescent="0.25">
      <c r="Q48" s="1033"/>
      <c r="R48" s="1034"/>
      <c r="S48" s="1035"/>
      <c r="X48" s="610"/>
      <c r="Y48" s="1076">
        <v>100</v>
      </c>
      <c r="Z48" s="935" t="str">
        <f>P44</f>
        <v>Říjen</v>
      </c>
      <c r="AA48" s="1024">
        <v>0</v>
      </c>
      <c r="AB48" s="935" t="str">
        <f>P44</f>
        <v>Říjen</v>
      </c>
      <c r="AC48" s="1024"/>
      <c r="AD48" s="935" t="str">
        <f>P44</f>
        <v>Říjen</v>
      </c>
    </row>
    <row r="49" spans="17:31" ht="15.75" thickBot="1" x14ac:dyDescent="0.3">
      <c r="Q49" s="1033"/>
      <c r="R49" s="1034"/>
      <c r="S49" s="1035"/>
      <c r="X49" s="610"/>
      <c r="Y49" s="1077"/>
      <c r="Z49" s="971" t="str">
        <f>P45</f>
        <v>Listopad</v>
      </c>
      <c r="AA49" s="974"/>
      <c r="AB49" s="971" t="str">
        <f>P45</f>
        <v>Listopad</v>
      </c>
      <c r="AC49" s="1110"/>
      <c r="AD49" s="971" t="str">
        <f>P45</f>
        <v>Listopad</v>
      </c>
    </row>
    <row r="50" spans="17:31" ht="16.5" thickTop="1" thickBot="1" x14ac:dyDescent="0.3">
      <c r="Q50" s="1033"/>
      <c r="R50" s="1034"/>
      <c r="S50" s="1035"/>
      <c r="X50" s="610"/>
      <c r="Y50" s="1023">
        <f>Y47-Y48-Y49</f>
        <v>0</v>
      </c>
      <c r="Z50" s="935" t="str">
        <f>P46</f>
        <v>Prosinec</v>
      </c>
      <c r="AA50" s="886">
        <f>AA47-AA48-AA49</f>
        <v>100</v>
      </c>
      <c r="AB50" s="935" t="str">
        <f>P46</f>
        <v>Prosinec</v>
      </c>
      <c r="AC50" s="1114">
        <f>AC47-AC48-AC49</f>
        <v>0</v>
      </c>
      <c r="AD50" s="1116" t="str">
        <f>P46</f>
        <v>Prosinec</v>
      </c>
    </row>
    <row r="51" spans="17:31" x14ac:dyDescent="0.25">
      <c r="Q51" s="1033"/>
      <c r="R51" s="1034"/>
      <c r="S51" s="1035"/>
      <c r="X51" s="610"/>
      <c r="Y51" s="1074">
        <f>SUM(Y29:Y41)</f>
        <v>0</v>
      </c>
      <c r="Z51" s="1078">
        <f>Y28</f>
        <v>9</v>
      </c>
      <c r="AA51" s="1045">
        <f>SUM(AA29:AA41)</f>
        <v>0</v>
      </c>
      <c r="AB51" s="1078">
        <f>AA28</f>
        <v>10</v>
      </c>
      <c r="AC51" s="1045">
        <f>SUM(AC29:AC41)</f>
        <v>0</v>
      </c>
      <c r="AD51" s="1126">
        <f>AC28</f>
        <v>11</v>
      </c>
      <c r="AE51" s="610"/>
    </row>
    <row r="52" spans="17:31" x14ac:dyDescent="0.25">
      <c r="Q52" s="1033"/>
      <c r="R52" s="1033"/>
      <c r="S52" s="1035"/>
      <c r="X52" s="610"/>
      <c r="Y52" s="1076">
        <v>0</v>
      </c>
      <c r="Z52" s="935" t="str">
        <f>P44</f>
        <v>Říjen</v>
      </c>
      <c r="AA52" s="1024">
        <v>0</v>
      </c>
      <c r="AB52" s="935" t="str">
        <f>P44</f>
        <v>Říjen</v>
      </c>
      <c r="AC52" s="1024">
        <v>0</v>
      </c>
      <c r="AD52" s="935" t="str">
        <f>P44</f>
        <v>Říjen</v>
      </c>
    </row>
    <row r="53" spans="17:31" ht="15.75" thickBot="1" x14ac:dyDescent="0.3">
      <c r="Q53" s="1036"/>
      <c r="R53" s="1034"/>
      <c r="S53" s="1035"/>
      <c r="X53" s="610"/>
      <c r="Y53" s="1122">
        <f>Y51-Y52</f>
        <v>0</v>
      </c>
      <c r="Z53" s="971" t="str">
        <f>P45</f>
        <v>Listopad</v>
      </c>
      <c r="AA53" s="1110">
        <f>AA51-AA52</f>
        <v>0</v>
      </c>
      <c r="AB53" s="971" t="str">
        <f>P45</f>
        <v>Listopad</v>
      </c>
      <c r="AC53" s="974">
        <f>AC51-AC52</f>
        <v>0</v>
      </c>
      <c r="AD53" s="971" t="str">
        <f>P45</f>
        <v>Listopad</v>
      </c>
    </row>
    <row r="54" spans="17:31" ht="16.5" thickTop="1" thickBot="1" x14ac:dyDescent="0.3">
      <c r="Q54" s="1036"/>
      <c r="R54" s="1034"/>
      <c r="S54" s="1035"/>
      <c r="X54" s="610"/>
      <c r="Y54" s="1023">
        <f>Y51-Y52-Y53</f>
        <v>0</v>
      </c>
      <c r="Z54" s="935" t="str">
        <f>P46</f>
        <v>Prosinec</v>
      </c>
      <c r="AA54" s="886">
        <f>AA51-AA52-AA53</f>
        <v>0</v>
      </c>
      <c r="AB54" s="935" t="str">
        <f>P46</f>
        <v>Prosinec</v>
      </c>
      <c r="AC54" s="1114"/>
      <c r="AD54" s="1111" t="s">
        <v>548</v>
      </c>
    </row>
    <row r="55" spans="17:31" x14ac:dyDescent="0.25">
      <c r="Q55" s="1035"/>
      <c r="R55" s="1035"/>
      <c r="S55" s="1035"/>
      <c r="Y55" s="1074">
        <f>SUM(Y9)</f>
        <v>800</v>
      </c>
      <c r="Z55" s="1078" t="str">
        <f>Y7</f>
        <v>Zdeněk Kovařík</v>
      </c>
      <c r="AA55" s="1045">
        <f>SUM(AA8:AA14)</f>
        <v>100</v>
      </c>
      <c r="AB55" s="1078" t="str">
        <f>AA7</f>
        <v>Pavel</v>
      </c>
    </row>
    <row r="56" spans="17:31" x14ac:dyDescent="0.25">
      <c r="Q56" s="1035"/>
      <c r="R56" s="1037"/>
      <c r="S56" s="1035"/>
      <c r="Y56" s="1076">
        <v>0</v>
      </c>
      <c r="Z56" s="935" t="str">
        <f>P44</f>
        <v>Říjen</v>
      </c>
      <c r="AA56" s="1024">
        <v>0</v>
      </c>
      <c r="AB56" s="935" t="str">
        <f>P44</f>
        <v>Říjen</v>
      </c>
    </row>
    <row r="57" spans="17:31" ht="15.75" thickBot="1" x14ac:dyDescent="0.3">
      <c r="Q57" s="1035"/>
      <c r="R57" s="1037"/>
      <c r="S57" s="1035"/>
      <c r="X57" s="1135">
        <v>1000</v>
      </c>
      <c r="Y57" s="1077">
        <f>Y55-Y56</f>
        <v>800</v>
      </c>
      <c r="Z57" s="971" t="str">
        <f>P45</f>
        <v>Listopad</v>
      </c>
      <c r="AA57" s="1110"/>
      <c r="AB57" s="971" t="str">
        <f>P45</f>
        <v>Listopad</v>
      </c>
    </row>
    <row r="58" spans="17:31" ht="15.75" thickTop="1" x14ac:dyDescent="0.25">
      <c r="Q58" s="1035"/>
      <c r="R58" s="1035"/>
      <c r="S58" s="1035"/>
      <c r="Y58" s="1023">
        <f>Y55-Y56-Y57</f>
        <v>0</v>
      </c>
      <c r="Z58" s="935" t="str">
        <f>P46</f>
        <v>Prosinec</v>
      </c>
      <c r="AA58" s="886">
        <f>AA55-AA56-AA57</f>
        <v>100</v>
      </c>
      <c r="AB58" s="935" t="str">
        <f>P46</f>
        <v>Prosinec</v>
      </c>
    </row>
    <row r="59" spans="17:31" x14ac:dyDescent="0.25">
      <c r="Q59" s="1035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Q61" s="1038"/>
      <c r="R61" s="1035"/>
      <c r="S61" s="1035"/>
    </row>
    <row r="62" spans="17:31" x14ac:dyDescent="0.25">
      <c r="Q62" s="1035"/>
      <c r="R62" s="1035"/>
      <c r="S62" s="1035"/>
    </row>
    <row r="63" spans="17:31" x14ac:dyDescent="0.25">
      <c r="R63" s="827"/>
    </row>
  </sheetData>
  <mergeCells count="25">
    <mergeCell ref="A42:C42"/>
    <mergeCell ref="G42:H42"/>
    <mergeCell ref="I42:K42"/>
    <mergeCell ref="L42:N42"/>
    <mergeCell ref="O42:P42"/>
    <mergeCell ref="Q42:R42"/>
    <mergeCell ref="AE1:AG1"/>
    <mergeCell ref="AH1:AI1"/>
    <mergeCell ref="AJ1:AK1"/>
    <mergeCell ref="AH4:AI4"/>
    <mergeCell ref="AJ4:AK4"/>
    <mergeCell ref="AH9:AI9"/>
    <mergeCell ref="Q1:AD1"/>
    <mergeCell ref="AE42:AG42"/>
    <mergeCell ref="S42:T42"/>
    <mergeCell ref="U42:V42"/>
    <mergeCell ref="W42:X42"/>
    <mergeCell ref="Y42:Z42"/>
    <mergeCell ref="AA42:AB42"/>
    <mergeCell ref="AC42:AD42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04ED53-EF89-894F-9BCF-DD2844FC38EC}">
  <sheetPr>
    <tabColor rgb="FFC00000"/>
  </sheetPr>
  <dimension ref="A1:AK63"/>
  <sheetViews>
    <sheetView topLeftCell="M24" zoomScaleNormal="60" zoomScaleSheetLayoutView="100" workbookViewId="0">
      <selection activeCell="O5" sqref="O5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1" customWidth="1"/>
    <col min="4" max="4" width="9.140625" bestFit="1" customWidth="1"/>
    <col min="5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11.42578125" bestFit="1" customWidth="1"/>
    <col min="16" max="16" width="7.42578125" bestFit="1" customWidth="1"/>
    <col min="17" max="17" width="16" bestFit="1" customWidth="1"/>
    <col min="18" max="18" width="10.5703125" bestFit="1" customWidth="1"/>
    <col min="19" max="19" width="14" bestFit="1" customWidth="1"/>
    <col min="20" max="20" width="12.7109375" bestFit="1" customWidth="1"/>
    <col min="21" max="21" width="14.85546875" customWidth="1"/>
    <col min="22" max="22" width="15" bestFit="1" customWidth="1"/>
    <col min="23" max="23" width="15.7109375" customWidth="1"/>
    <col min="24" max="24" width="12" customWidth="1"/>
    <col min="25" max="25" width="16.5703125" customWidth="1"/>
    <col min="26" max="26" width="13.42578125" customWidth="1"/>
    <col min="27" max="27" width="24.1406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0.42578125" bestFit="1" customWidth="1"/>
    <col min="32" max="32" width="11.42578125" bestFit="1" customWidth="1"/>
    <col min="33" max="33" width="9.85546875" bestFit="1" customWidth="1"/>
    <col min="34" max="34" width="16.140625" style="30" customWidth="1"/>
    <col min="35" max="35" width="9.140625" bestFit="1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504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517</v>
      </c>
      <c r="R2" s="966" t="s">
        <v>441</v>
      </c>
      <c r="S2" s="967" t="s">
        <v>546</v>
      </c>
      <c r="T2" s="966" t="s">
        <v>442</v>
      </c>
      <c r="U2" s="964" t="s">
        <v>556</v>
      </c>
      <c r="V2" s="966" t="s">
        <v>443</v>
      </c>
      <c r="W2" s="964" t="s">
        <v>568</v>
      </c>
      <c r="X2" s="966" t="s">
        <v>444</v>
      </c>
      <c r="Y2" s="964" t="s">
        <v>569</v>
      </c>
      <c r="Z2" s="966" t="s">
        <v>445</v>
      </c>
      <c r="AA2" s="964" t="s">
        <v>570</v>
      </c>
      <c r="AB2" s="966" t="s">
        <v>446</v>
      </c>
      <c r="AC2" s="964" t="s">
        <v>551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>
        <v>3200.6</v>
      </c>
      <c r="B3" s="979">
        <v>44899</v>
      </c>
      <c r="C3" s="945"/>
      <c r="D3" s="619"/>
      <c r="E3" s="979">
        <v>44904</v>
      </c>
      <c r="F3" s="952">
        <v>138.69999999999999</v>
      </c>
      <c r="G3" s="975"/>
      <c r="H3" s="952"/>
      <c r="I3" s="619"/>
      <c r="J3" s="978"/>
      <c r="K3" s="952"/>
      <c r="L3" s="959"/>
      <c r="M3" s="981"/>
      <c r="N3" s="952"/>
      <c r="O3" s="975">
        <f>AG43-AK6-AI3</f>
        <v>1841.63</v>
      </c>
      <c r="P3" s="945"/>
      <c r="Q3" s="984">
        <v>100</v>
      </c>
      <c r="R3" s="937">
        <v>44900</v>
      </c>
      <c r="S3" s="986">
        <v>20</v>
      </c>
      <c r="T3" s="938">
        <v>44900</v>
      </c>
      <c r="U3" s="990">
        <v>100</v>
      </c>
      <c r="V3" s="937">
        <v>44900</v>
      </c>
      <c r="W3" s="990"/>
      <c r="X3" s="937"/>
      <c r="Y3" s="989"/>
      <c r="Z3" s="937"/>
      <c r="AA3" s="1137"/>
      <c r="AB3" s="937"/>
      <c r="AC3" s="1107"/>
      <c r="AD3" s="1106"/>
      <c r="AE3" s="993"/>
      <c r="AF3" s="997" t="s">
        <v>119</v>
      </c>
      <c r="AG3" s="963">
        <v>1838</v>
      </c>
      <c r="AH3" s="299">
        <v>0</v>
      </c>
      <c r="AI3" s="300">
        <v>215</v>
      </c>
      <c r="AJ3" s="301">
        <f>AH6+AJ6</f>
        <v>5800.6</v>
      </c>
      <c r="AK3" s="302">
        <f>AK6+AI6</f>
        <v>1081.3699999999999</v>
      </c>
    </row>
    <row r="4" spans="1:37" ht="19.5" thickBot="1" x14ac:dyDescent="0.3">
      <c r="A4" s="681">
        <v>2600</v>
      </c>
      <c r="B4" s="979">
        <v>44916</v>
      </c>
      <c r="C4" s="946"/>
      <c r="D4" s="618"/>
      <c r="E4" s="979">
        <v>44911</v>
      </c>
      <c r="F4" s="953">
        <v>132.66999999999999</v>
      </c>
      <c r="G4" s="976"/>
      <c r="H4" s="953"/>
      <c r="I4" s="618"/>
      <c r="J4" s="979"/>
      <c r="K4" s="953"/>
      <c r="L4" s="960"/>
      <c r="M4" s="982"/>
      <c r="N4" s="953"/>
      <c r="O4" s="976">
        <v>0.2</v>
      </c>
      <c r="P4" s="946"/>
      <c r="Q4" s="986">
        <v>100</v>
      </c>
      <c r="R4" s="938">
        <v>44912</v>
      </c>
      <c r="S4" s="986">
        <v>20</v>
      </c>
      <c r="T4" s="1071">
        <v>44901</v>
      </c>
      <c r="U4" s="1051">
        <v>30</v>
      </c>
      <c r="V4" s="938">
        <v>44904</v>
      </c>
      <c r="W4" s="1051"/>
      <c r="X4" s="938"/>
      <c r="Y4" s="990"/>
      <c r="Z4" s="938"/>
      <c r="AA4" s="1136"/>
      <c r="AB4" s="938"/>
      <c r="AC4" s="1050"/>
      <c r="AD4" s="1071"/>
      <c r="AE4" s="994"/>
      <c r="AF4" s="997">
        <v>44900</v>
      </c>
      <c r="AG4" s="963">
        <v>500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81"/>
      <c r="B5" s="979"/>
      <c r="C5" s="946"/>
      <c r="D5" s="618"/>
      <c r="E5" s="979"/>
      <c r="F5" s="953"/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986"/>
      <c r="R5" s="938"/>
      <c r="S5" s="986">
        <v>20</v>
      </c>
      <c r="T5" s="1071">
        <v>44902</v>
      </c>
      <c r="U5" s="1051">
        <v>20</v>
      </c>
      <c r="V5" s="938">
        <v>44907</v>
      </c>
      <c r="W5" s="1051"/>
      <c r="X5" s="938"/>
      <c r="Y5" s="990"/>
      <c r="Z5" s="938"/>
      <c r="AA5" s="1136"/>
      <c r="AB5" s="938"/>
      <c r="AC5" s="1050"/>
      <c r="AD5" s="1071"/>
      <c r="AE5" s="994"/>
      <c r="AF5" s="997">
        <v>44910</v>
      </c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81"/>
      <c r="B6" s="979"/>
      <c r="C6" s="946"/>
      <c r="D6" s="618"/>
      <c r="E6" s="979"/>
      <c r="F6" s="953"/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986"/>
      <c r="R6" s="938"/>
      <c r="S6" s="986">
        <v>40</v>
      </c>
      <c r="T6" s="1071">
        <v>44903</v>
      </c>
      <c r="U6" s="1070">
        <v>15</v>
      </c>
      <c r="V6" s="1068">
        <v>44907</v>
      </c>
      <c r="W6" s="1051"/>
      <c r="X6" s="938"/>
      <c r="Y6" s="990"/>
      <c r="Z6" s="938"/>
      <c r="AA6" s="1136"/>
      <c r="AB6" s="938"/>
      <c r="AC6" s="1050"/>
      <c r="AD6" s="1071"/>
      <c r="AE6" s="994"/>
      <c r="AF6" s="997">
        <v>44916</v>
      </c>
      <c r="AG6" s="963">
        <v>300</v>
      </c>
      <c r="AH6" s="612">
        <f>A43+L43</f>
        <v>5800.6</v>
      </c>
      <c r="AI6" s="317">
        <f>D43+H43+K43+N44</f>
        <v>0</v>
      </c>
      <c r="AJ6" s="128">
        <f>L44+C43</f>
        <v>0</v>
      </c>
      <c r="AK6" s="129">
        <f>F43+G43+I43+M44+Q43+S43+W43+Y43+AA43+AC43+Y47+Y51+AA47+AA51+AC47+AC51+U43+Y55+AA55</f>
        <v>1081.3699999999999</v>
      </c>
    </row>
    <row r="7" spans="1:37" ht="19.5" thickBot="1" x14ac:dyDescent="0.3">
      <c r="A7" s="681"/>
      <c r="B7" s="979"/>
      <c r="C7" s="946"/>
      <c r="D7" s="618"/>
      <c r="E7" s="979"/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986"/>
      <c r="R7" s="938"/>
      <c r="S7" s="986">
        <v>100</v>
      </c>
      <c r="T7" s="938">
        <v>44905</v>
      </c>
      <c r="U7" s="1070">
        <v>40</v>
      </c>
      <c r="V7" s="1068">
        <v>44907</v>
      </c>
      <c r="W7" s="990"/>
      <c r="X7" s="938"/>
      <c r="Y7" s="990"/>
      <c r="Z7" s="938"/>
      <c r="AA7" s="1136"/>
      <c r="AB7" s="938"/>
      <c r="AC7" s="1050"/>
      <c r="AD7" s="1071"/>
      <c r="AE7" s="994"/>
      <c r="AF7" s="997"/>
      <c r="AG7" s="963"/>
      <c r="AH7" s="613" t="s">
        <v>66</v>
      </c>
      <c r="AI7" s="321" t="s">
        <v>67</v>
      </c>
    </row>
    <row r="8" spans="1:37" x14ac:dyDescent="0.25">
      <c r="A8" s="681"/>
      <c r="B8" s="979"/>
      <c r="C8" s="946"/>
      <c r="D8" s="618"/>
      <c r="E8" s="979"/>
      <c r="F8" s="953"/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986"/>
      <c r="R8" s="938"/>
      <c r="S8" s="986">
        <v>100</v>
      </c>
      <c r="T8" s="938">
        <v>44907</v>
      </c>
      <c r="U8" s="1051">
        <v>20</v>
      </c>
      <c r="V8" s="938">
        <v>44910</v>
      </c>
      <c r="W8" s="990"/>
      <c r="X8" s="938"/>
      <c r="Y8" s="1136"/>
      <c r="Z8" s="938"/>
      <c r="AA8" s="1136"/>
      <c r="AB8" s="938"/>
      <c r="AC8" s="1050"/>
      <c r="AD8" s="1071"/>
      <c r="AE8" s="994"/>
      <c r="AF8" s="997"/>
      <c r="AG8" s="963"/>
      <c r="AH8" s="326">
        <v>0</v>
      </c>
      <c r="AI8" s="327">
        <f>E43</f>
        <v>0</v>
      </c>
    </row>
    <row r="9" spans="1:37" ht="15.75" thickBot="1" x14ac:dyDescent="0.3">
      <c r="A9" s="681"/>
      <c r="B9" s="979"/>
      <c r="C9" s="946"/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/>
      <c r="R9" s="938"/>
      <c r="S9" s="986">
        <v>15</v>
      </c>
      <c r="T9" s="938">
        <v>44914</v>
      </c>
      <c r="U9" s="990"/>
      <c r="V9" s="938"/>
      <c r="W9" s="990"/>
      <c r="X9" s="938"/>
      <c r="Y9" s="990"/>
      <c r="Z9" s="938"/>
      <c r="AA9" s="1136"/>
      <c r="AB9" s="938"/>
      <c r="AC9" s="1050"/>
      <c r="AD9" s="1071"/>
      <c r="AE9" s="994"/>
      <c r="AF9" s="997"/>
      <c r="AG9" s="963"/>
      <c r="AH9" s="1244">
        <f>AH8-AI8</f>
        <v>0</v>
      </c>
      <c r="AI9" s="1222"/>
    </row>
    <row r="10" spans="1:37" x14ac:dyDescent="0.25">
      <c r="A10" s="659"/>
      <c r="B10" s="979"/>
      <c r="C10" s="1060"/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/>
      <c r="R10" s="1068"/>
      <c r="S10" s="1138">
        <v>50</v>
      </c>
      <c r="T10" s="1068">
        <v>44916</v>
      </c>
      <c r="U10" s="1051"/>
      <c r="V10" s="1071"/>
      <c r="W10" s="1051"/>
      <c r="X10" s="1071"/>
      <c r="Y10" s="991"/>
      <c r="Z10" s="938"/>
      <c r="AA10" s="1136"/>
      <c r="AB10" s="1071"/>
      <c r="AC10" s="1050"/>
      <c r="AD10" s="1071"/>
      <c r="AE10" s="994"/>
      <c r="AF10" s="1073"/>
      <c r="AG10" s="963"/>
      <c r="AH10" s="610"/>
      <c r="AI10" s="1052"/>
    </row>
    <row r="11" spans="1:37" x14ac:dyDescent="0.25">
      <c r="A11" s="659"/>
      <c r="B11" s="979"/>
      <c r="C11" s="1060"/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62"/>
      <c r="R11" s="1068"/>
      <c r="S11" s="1138">
        <v>20</v>
      </c>
      <c r="T11" s="1068">
        <v>44916</v>
      </c>
      <c r="U11" s="1051"/>
      <c r="V11" s="1071"/>
      <c r="W11" s="1051"/>
      <c r="X11" s="1071"/>
      <c r="Y11" s="991"/>
      <c r="Z11" s="938"/>
      <c r="AA11" s="1136"/>
      <c r="AB11" s="1071"/>
      <c r="AC11" s="1050"/>
      <c r="AD11" s="1071"/>
      <c r="AE11" s="994"/>
      <c r="AF11" s="1073"/>
      <c r="AG11" s="963"/>
      <c r="AH11" s="610"/>
      <c r="AI11" s="1052"/>
    </row>
    <row r="12" spans="1:37" x14ac:dyDescent="0.25">
      <c r="A12" s="659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62"/>
      <c r="R12" s="1068"/>
      <c r="S12" s="1069"/>
      <c r="T12" s="1068"/>
      <c r="U12" s="1070"/>
      <c r="V12" s="1068"/>
      <c r="W12" s="1051"/>
      <c r="X12" s="1071"/>
      <c r="Y12" s="991"/>
      <c r="Z12" s="938"/>
      <c r="AA12" s="1136"/>
      <c r="AB12" s="1071"/>
      <c r="AC12" s="1050"/>
      <c r="AD12" s="1071"/>
      <c r="AE12" s="994"/>
      <c r="AF12" s="1073"/>
      <c r="AG12" s="963"/>
      <c r="AH12" s="610"/>
      <c r="AI12" s="1052"/>
    </row>
    <row r="13" spans="1:37" x14ac:dyDescent="0.25">
      <c r="A13" s="659"/>
      <c r="B13" s="979"/>
      <c r="C13" s="1060"/>
      <c r="D13" s="1119"/>
      <c r="E13" s="1120"/>
      <c r="F13" s="112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62"/>
      <c r="R13" s="1068"/>
      <c r="S13" s="1069"/>
      <c r="T13" s="1068"/>
      <c r="U13" s="1070"/>
      <c r="V13" s="1068"/>
      <c r="W13" s="1051"/>
      <c r="X13" s="1071"/>
      <c r="Y13" s="991"/>
      <c r="Z13" s="938"/>
      <c r="AA13" s="1136"/>
      <c r="AB13" s="1071"/>
      <c r="AC13" s="1050"/>
      <c r="AD13" s="1071"/>
      <c r="AE13" s="1072"/>
      <c r="AF13" s="1073"/>
      <c r="AG13" s="963"/>
      <c r="AH13" s="610"/>
      <c r="AI13" s="1052"/>
    </row>
    <row r="14" spans="1:37" x14ac:dyDescent="0.25">
      <c r="A14" s="681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/>
      <c r="X14" s="938"/>
      <c r="Y14" s="990"/>
      <c r="Z14" s="938"/>
      <c r="AA14" s="1136"/>
      <c r="AB14" s="938"/>
      <c r="AC14" s="1050"/>
      <c r="AD14" s="1071"/>
      <c r="AE14" s="994"/>
      <c r="AF14" s="997"/>
      <c r="AG14" s="963"/>
      <c r="AH14" s="610"/>
    </row>
    <row r="15" spans="1:37" ht="18.75" x14ac:dyDescent="0.25">
      <c r="A15" s="681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986"/>
      <c r="V15" s="938"/>
      <c r="W15" s="990"/>
      <c r="X15" s="938"/>
      <c r="Y15" s="1123" t="s">
        <v>571</v>
      </c>
      <c r="Z15" s="1054" t="s">
        <v>47</v>
      </c>
      <c r="AA15" s="1124" t="s">
        <v>572</v>
      </c>
      <c r="AB15" s="1054" t="s">
        <v>47</v>
      </c>
      <c r="AC15" s="1123" t="s">
        <v>552</v>
      </c>
      <c r="AD15" s="1054" t="s">
        <v>47</v>
      </c>
      <c r="AE15" s="994"/>
      <c r="AF15" s="997"/>
      <c r="AG15" s="963"/>
      <c r="AH15" s="610"/>
    </row>
    <row r="16" spans="1:37" x14ac:dyDescent="0.25">
      <c r="A16" s="681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963"/>
      <c r="AH16" s="610"/>
    </row>
    <row r="17" spans="1:34" x14ac:dyDescent="0.25">
      <c r="A17" s="659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62"/>
      <c r="R17" s="1068"/>
      <c r="S17" s="1069"/>
      <c r="T17" s="1068"/>
      <c r="U17" s="1070"/>
      <c r="V17" s="1068"/>
      <c r="W17" s="1051"/>
      <c r="X17" s="938"/>
      <c r="Y17" s="990"/>
      <c r="Z17" s="938"/>
      <c r="AA17" s="986"/>
      <c r="AB17" s="1071"/>
      <c r="AC17" s="1051"/>
      <c r="AD17" s="1071"/>
      <c r="AE17" s="1072"/>
      <c r="AF17" s="1073"/>
      <c r="AG17" s="963"/>
      <c r="AH17" s="610"/>
    </row>
    <row r="18" spans="1:34" x14ac:dyDescent="0.25">
      <c r="A18" s="659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62"/>
      <c r="R18" s="1068"/>
      <c r="S18" s="1069"/>
      <c r="T18" s="1068"/>
      <c r="U18" s="1070"/>
      <c r="V18" s="1068"/>
      <c r="W18" s="1051"/>
      <c r="X18" s="938"/>
      <c r="Y18" s="990"/>
      <c r="Z18" s="938"/>
      <c r="AA18" s="986"/>
      <c r="AB18" s="1071"/>
      <c r="AC18" s="1051"/>
      <c r="AD18" s="1071"/>
      <c r="AE18" s="1072"/>
      <c r="AF18" s="1073"/>
      <c r="AG18" s="963"/>
      <c r="AH18" s="610"/>
    </row>
    <row r="19" spans="1:34" x14ac:dyDescent="0.25">
      <c r="A19" s="659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62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1"/>
      <c r="AD19" s="1071"/>
      <c r="AE19" s="1072"/>
      <c r="AF19" s="1073"/>
      <c r="AG19" s="963"/>
      <c r="AH19" s="610"/>
    </row>
    <row r="20" spans="1:34" x14ac:dyDescent="0.25">
      <c r="A20" s="681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0"/>
      <c r="X20" s="938"/>
      <c r="Y20" s="990"/>
      <c r="Z20" s="938"/>
      <c r="AA20" s="986"/>
      <c r="AB20" s="938"/>
      <c r="AC20" s="990"/>
      <c r="AD20" s="938"/>
      <c r="AE20" s="994"/>
      <c r="AF20" s="997"/>
      <c r="AG20" s="963"/>
      <c r="AH20" s="610"/>
    </row>
    <row r="21" spans="1:34" x14ac:dyDescent="0.25">
      <c r="A21" s="681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0"/>
      <c r="X21" s="938"/>
      <c r="Y21" s="990"/>
      <c r="Z21" s="938"/>
      <c r="AA21" s="986"/>
      <c r="AB21" s="938"/>
      <c r="AC21" s="990"/>
      <c r="AD21" s="938"/>
      <c r="AE21" s="994"/>
      <c r="AF21" s="997"/>
      <c r="AG21" s="963"/>
      <c r="AH21" s="610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0"/>
      <c r="AD22" s="938"/>
      <c r="AE22" s="994"/>
      <c r="AF22" s="997"/>
      <c r="AG22" s="963"/>
      <c r="AH22" s="610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86"/>
      <c r="AB23" s="938"/>
      <c r="AC23" s="991"/>
      <c r="AD23" s="938"/>
      <c r="AE23" s="994"/>
      <c r="AF23" s="997"/>
      <c r="AG23" s="963"/>
      <c r="AH23" s="610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63"/>
      <c r="AH24" s="1109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63"/>
      <c r="AH25" s="610"/>
    </row>
    <row r="26" spans="1:34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63"/>
      <c r="AH26" s="610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63"/>
      <c r="AH27" s="614"/>
    </row>
    <row r="28" spans="1:34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8</v>
      </c>
      <c r="Z28" s="1054" t="s">
        <v>47</v>
      </c>
      <c r="AA28" s="1125">
        <v>9</v>
      </c>
      <c r="AB28" s="1054" t="s">
        <v>47</v>
      </c>
      <c r="AC28" s="1125">
        <v>10</v>
      </c>
      <c r="AD28" s="1054" t="s">
        <v>47</v>
      </c>
      <c r="AE28" s="994"/>
      <c r="AF28" s="997"/>
      <c r="AG28" s="963"/>
      <c r="AH28" s="614"/>
    </row>
    <row r="29" spans="1:34" x14ac:dyDescent="0.25">
      <c r="A29" s="681"/>
      <c r="B29" s="979"/>
      <c r="C29" s="946"/>
      <c r="D29" s="618"/>
      <c r="E29" s="979"/>
      <c r="F29" s="953"/>
      <c r="G29" s="976"/>
      <c r="H29" s="953"/>
      <c r="I29" s="618"/>
      <c r="J29" s="979"/>
      <c r="K29" s="953"/>
      <c r="L29" s="960"/>
      <c r="M29" s="982"/>
      <c r="N29" s="953"/>
      <c r="O29" s="976"/>
      <c r="P29" s="946"/>
      <c r="Q29" s="986"/>
      <c r="R29" s="938"/>
      <c r="S29" s="976"/>
      <c r="T29" s="938"/>
      <c r="U29" s="986"/>
      <c r="V29" s="938"/>
      <c r="W29" s="991"/>
      <c r="X29" s="938"/>
      <c r="Y29" s="990"/>
      <c r="Z29" s="938"/>
      <c r="AA29" s="986"/>
      <c r="AB29" s="938"/>
      <c r="AC29" s="990"/>
      <c r="AD29" s="938"/>
      <c r="AE29" s="994"/>
      <c r="AF29" s="997"/>
      <c r="AG29" s="963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0"/>
      <c r="Z30" s="938"/>
      <c r="AA30" s="986"/>
      <c r="AB30" s="938"/>
      <c r="AC30" s="990"/>
      <c r="AD30" s="938"/>
      <c r="AE30" s="994"/>
      <c r="AF30" s="997"/>
      <c r="AG30" s="96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0"/>
      <c r="AD31" s="938"/>
      <c r="AE31" s="994"/>
      <c r="AF31" s="997"/>
      <c r="AG31" s="96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76"/>
      <c r="AB32" s="938"/>
      <c r="AC32" s="991"/>
      <c r="AD32" s="938"/>
      <c r="AE32" s="994"/>
      <c r="AF32" s="997"/>
      <c r="AG32" s="96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86"/>
      <c r="AB35" s="938"/>
      <c r="AC35" s="991"/>
      <c r="AD35" s="938"/>
      <c r="AE35" s="994"/>
      <c r="AF35" s="997"/>
      <c r="AG35" s="96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76"/>
      <c r="AB37" s="938"/>
      <c r="AC37" s="991"/>
      <c r="AD37" s="938"/>
      <c r="AE37" s="994"/>
      <c r="AF37" s="997"/>
      <c r="AG37" s="96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86"/>
      <c r="AB39" s="938"/>
      <c r="AC39" s="991"/>
      <c r="AD39" s="938"/>
      <c r="AE39" s="994"/>
      <c r="AF39" s="997"/>
      <c r="AG39" s="96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4" ht="15.75" thickBot="1" x14ac:dyDescent="0.3">
      <c r="A41" s="682"/>
      <c r="B41" s="1000"/>
      <c r="C41" s="948"/>
      <c r="D41" s="675"/>
      <c r="E41" s="999"/>
      <c r="F41" s="954"/>
      <c r="G41" s="977"/>
      <c r="H41" s="954"/>
      <c r="I41" s="624"/>
      <c r="J41" s="980"/>
      <c r="K41" s="958"/>
      <c r="L41" s="961"/>
      <c r="M41" s="983"/>
      <c r="N41" s="954"/>
      <c r="O41" s="985"/>
      <c r="P41" s="947"/>
      <c r="Q41" s="987"/>
      <c r="R41" s="939"/>
      <c r="S41" s="988"/>
      <c r="T41" s="940"/>
      <c r="U41" s="987"/>
      <c r="V41" s="939"/>
      <c r="W41" s="992"/>
      <c r="X41" s="939"/>
      <c r="Y41" s="992"/>
      <c r="Z41" s="939"/>
      <c r="AA41" s="987"/>
      <c r="AB41" s="939"/>
      <c r="AC41" s="992"/>
      <c r="AD41" s="939"/>
      <c r="AE41" s="995"/>
      <c r="AF41" s="998"/>
      <c r="AG41" s="1108"/>
      <c r="AH41" s="614"/>
    </row>
    <row r="42" spans="1:34" ht="15.75" thickBot="1" x14ac:dyDescent="0.3">
      <c r="A42" s="1285" t="s">
        <v>102</v>
      </c>
      <c r="B42" s="1284"/>
      <c r="C42" s="1277"/>
      <c r="D42" s="669" t="s">
        <v>103</v>
      </c>
      <c r="E42" s="669" t="s">
        <v>61</v>
      </c>
      <c r="F42" s="955" t="s">
        <v>103</v>
      </c>
      <c r="G42" s="1276" t="s">
        <v>103</v>
      </c>
      <c r="H42" s="1277"/>
      <c r="I42" s="1286" t="s">
        <v>102</v>
      </c>
      <c r="J42" s="1287"/>
      <c r="K42" s="1288"/>
      <c r="L42" s="1283" t="s">
        <v>102</v>
      </c>
      <c r="M42" s="1284"/>
      <c r="N42" s="1277"/>
      <c r="O42" s="1286" t="s">
        <v>104</v>
      </c>
      <c r="P42" s="1288"/>
      <c r="Q42" s="1276" t="s">
        <v>104</v>
      </c>
      <c r="R42" s="1277"/>
      <c r="S42" s="1276" t="s">
        <v>104</v>
      </c>
      <c r="T42" s="1277"/>
      <c r="U42" s="1276" t="s">
        <v>104</v>
      </c>
      <c r="V42" s="1277"/>
      <c r="W42" s="1276" t="s">
        <v>104</v>
      </c>
      <c r="X42" s="1277"/>
      <c r="Y42" s="1276" t="s">
        <v>104</v>
      </c>
      <c r="Z42" s="1277"/>
      <c r="AA42" s="1276" t="s">
        <v>102</v>
      </c>
      <c r="AB42" s="1277"/>
      <c r="AC42" s="1276" t="s">
        <v>102</v>
      </c>
      <c r="AD42" s="1277"/>
      <c r="AE42" s="1283" t="s">
        <v>102</v>
      </c>
      <c r="AF42" s="1284"/>
      <c r="AG42" s="1277"/>
      <c r="AH42" s="614"/>
    </row>
    <row r="43" spans="1:34" x14ac:dyDescent="0.25">
      <c r="A43" s="872">
        <f>SUM(A3:A41)</f>
        <v>5800.6</v>
      </c>
      <c r="B43" s="626"/>
      <c r="C43" s="949">
        <f>SUM(C3:C41)</f>
        <v>0</v>
      </c>
      <c r="D43" s="950">
        <f>SUM(D3:D41)</f>
        <v>0</v>
      </c>
      <c r="E43" s="629">
        <v>0</v>
      </c>
      <c r="F43" s="956">
        <f>SUM(F3:F41)</f>
        <v>271.37</v>
      </c>
      <c r="G43" s="936">
        <f>SUM(G3:G41)</f>
        <v>0</v>
      </c>
      <c r="H43" s="957">
        <f>SUM(H3:H41)</f>
        <v>0</v>
      </c>
      <c r="I43" s="936">
        <f>SUM(I3:I41)</f>
        <v>0</v>
      </c>
      <c r="J43" s="629"/>
      <c r="K43" s="957">
        <f>SUM(K3:K41)</f>
        <v>0</v>
      </c>
      <c r="L43" s="962">
        <f>SUM(L3:L41)</f>
        <v>0</v>
      </c>
      <c r="M43" s="873" t="s">
        <v>49</v>
      </c>
      <c r="N43" s="956" t="s">
        <v>46</v>
      </c>
      <c r="O43" s="1141">
        <f>O3+O5</f>
        <v>1841.63</v>
      </c>
      <c r="P43" s="1078" t="s">
        <v>395</v>
      </c>
      <c r="Q43" s="1045">
        <f>SUM(Q3:Q41)</f>
        <v>200</v>
      </c>
      <c r="R43" s="1078" t="str">
        <f>Q2</f>
        <v>Pavel Zoula</v>
      </c>
      <c r="S43" s="1045">
        <f>SUM(S3:S41)</f>
        <v>385</v>
      </c>
      <c r="T43" s="1105" t="str">
        <f>S2</f>
        <v>Ondřej Klimeš</v>
      </c>
      <c r="U43" s="1045">
        <f>SUM(U3:U41)</f>
        <v>225</v>
      </c>
      <c r="V43" s="1078" t="str">
        <f>U2</f>
        <v>Kryštof Šplouchal</v>
      </c>
      <c r="W43" s="1045">
        <f>SUM(W3:W41)</f>
        <v>0</v>
      </c>
      <c r="X43" s="1078" t="str">
        <f>W2</f>
        <v>1</v>
      </c>
      <c r="Y43" s="1045">
        <f>SUM(Y3:Y14)</f>
        <v>0</v>
      </c>
      <c r="Z43" s="1078" t="str">
        <f>Y2</f>
        <v>2</v>
      </c>
      <c r="AA43" s="1045">
        <f>SUM(AA3:AA14)</f>
        <v>0</v>
      </c>
      <c r="AB43" s="1078" t="str">
        <f>AA2</f>
        <v>3</v>
      </c>
      <c r="AC43" s="1045">
        <f>SUM(AC3:AC14)</f>
        <v>0</v>
      </c>
      <c r="AD43" s="1078" t="str">
        <f>AC2</f>
        <v>4</v>
      </c>
      <c r="AE43" s="962">
        <f>SUM(AE3:AE41)</f>
        <v>0</v>
      </c>
      <c r="AF43" s="629"/>
      <c r="AG43" s="957">
        <f>SUM(AG3:AG41)</f>
        <v>3138</v>
      </c>
      <c r="AH43" s="614"/>
    </row>
    <row r="44" spans="1:34" x14ac:dyDescent="0.25">
      <c r="A44" s="634"/>
      <c r="B44" s="635"/>
      <c r="C44" s="935"/>
      <c r="D44" s="951"/>
      <c r="E44" s="635"/>
      <c r="F44" s="935"/>
      <c r="G44" s="951"/>
      <c r="H44" s="935"/>
      <c r="I44" s="951"/>
      <c r="J44" s="635"/>
      <c r="K44" s="935"/>
      <c r="L44" s="951"/>
      <c r="M44" s="1058">
        <f>N3+N4+N5</f>
        <v>0</v>
      </c>
      <c r="N44" s="1059">
        <f>N38+N39+N40</f>
        <v>0</v>
      </c>
      <c r="O44" s="1023">
        <v>0</v>
      </c>
      <c r="P44" s="935" t="s">
        <v>555</v>
      </c>
      <c r="Q44" s="1023">
        <v>0</v>
      </c>
      <c r="R44" s="935" t="str">
        <f>P44</f>
        <v>Prosinec</v>
      </c>
      <c r="S44" s="1023">
        <v>0</v>
      </c>
      <c r="T44" s="935" t="str">
        <f>P44</f>
        <v>Prosinec</v>
      </c>
      <c r="U44" s="1023">
        <v>0</v>
      </c>
      <c r="V44" s="935" t="str">
        <f>P44</f>
        <v>Prosinec</v>
      </c>
      <c r="W44" s="1024">
        <v>0</v>
      </c>
      <c r="X44" s="935" t="str">
        <f>P44</f>
        <v>Prosinec</v>
      </c>
      <c r="Y44" s="1024">
        <v>0</v>
      </c>
      <c r="Z44" s="935" t="str">
        <f>P44</f>
        <v>Prosinec</v>
      </c>
      <c r="AA44" s="1024">
        <v>0</v>
      </c>
      <c r="AB44" s="935" t="str">
        <f>P44</f>
        <v>Prosinec</v>
      </c>
      <c r="AC44" s="1024">
        <v>0</v>
      </c>
      <c r="AD44" s="935" t="str">
        <f>P44</f>
        <v>Prosinec</v>
      </c>
      <c r="AE44" s="951"/>
      <c r="AF44" s="635"/>
      <c r="AG44" s="935"/>
      <c r="AH44" s="614"/>
    </row>
    <row r="45" spans="1:34" ht="15.75" thickBot="1" x14ac:dyDescent="0.3">
      <c r="A45" s="969"/>
      <c r="B45" s="970"/>
      <c r="C45" s="971"/>
      <c r="D45" s="972"/>
      <c r="E45" s="970"/>
      <c r="F45" s="971"/>
      <c r="G45" s="972"/>
      <c r="H45" s="971"/>
      <c r="I45" s="972"/>
      <c r="J45" s="970"/>
      <c r="K45" s="971"/>
      <c r="L45" s="972"/>
      <c r="M45" s="970"/>
      <c r="N45" s="971"/>
      <c r="O45" s="1153">
        <f>O43-O44+O4</f>
        <v>1841.8300000000002</v>
      </c>
      <c r="P45" s="971" t="s">
        <v>573</v>
      </c>
      <c r="Q45" s="973">
        <f>Q43-Q44</f>
        <v>200</v>
      </c>
      <c r="R45" s="971" t="str">
        <f>P45</f>
        <v>Leden</v>
      </c>
      <c r="S45" s="973">
        <f>S43-S44</f>
        <v>385</v>
      </c>
      <c r="T45" s="971" t="str">
        <f>P45</f>
        <v>Leden</v>
      </c>
      <c r="U45" s="973">
        <f>U43-U44</f>
        <v>225</v>
      </c>
      <c r="V45" s="971" t="str">
        <f>P45</f>
        <v>Leden</v>
      </c>
      <c r="W45" s="974">
        <f>W43-W44</f>
        <v>0</v>
      </c>
      <c r="X45" s="971" t="str">
        <f>P45</f>
        <v>Leden</v>
      </c>
      <c r="Y45" s="974">
        <f>Y43-Y44</f>
        <v>0</v>
      </c>
      <c r="Z45" s="971" t="str">
        <f>P45</f>
        <v>Leden</v>
      </c>
      <c r="AA45" s="974">
        <f>AA43-AA44</f>
        <v>0</v>
      </c>
      <c r="AB45" s="971" t="str">
        <f>P45</f>
        <v>Leden</v>
      </c>
      <c r="AC45" s="1022"/>
      <c r="AD45" s="971" t="str">
        <f>P45</f>
        <v>Leden</v>
      </c>
      <c r="AE45" s="972"/>
      <c r="AF45" s="970"/>
      <c r="AG45" s="971"/>
      <c r="AH45" s="614"/>
    </row>
    <row r="46" spans="1:34" ht="16.5" thickTop="1" thickBot="1" x14ac:dyDescent="0.3">
      <c r="A46" s="1111"/>
      <c r="B46" s="1111"/>
      <c r="C46" s="1111"/>
      <c r="D46" s="1111"/>
      <c r="E46" s="1111"/>
      <c r="F46" s="1111"/>
      <c r="G46" s="1111"/>
      <c r="H46" s="1111"/>
      <c r="I46" s="1111"/>
      <c r="J46" s="1111"/>
      <c r="K46" s="1111"/>
      <c r="L46" s="1111"/>
      <c r="M46" s="1111"/>
      <c r="N46" s="1111"/>
      <c r="O46" s="1112">
        <f>O43-O44-O45</f>
        <v>-0.20000000000004547</v>
      </c>
      <c r="P46" s="1111"/>
      <c r="Q46" s="1023">
        <f>Q43-Q44-Q45</f>
        <v>0</v>
      </c>
      <c r="R46" s="935">
        <f>P46</f>
        <v>0</v>
      </c>
      <c r="S46" s="1117">
        <f>S43-S44-S45</f>
        <v>0</v>
      </c>
      <c r="T46" s="935">
        <f>P46</f>
        <v>0</v>
      </c>
      <c r="U46" s="1023"/>
      <c r="V46" s="935">
        <f>P46</f>
        <v>0</v>
      </c>
      <c r="W46" s="886">
        <f>W43-W44-W45</f>
        <v>0</v>
      </c>
      <c r="X46" s="935">
        <f>P46</f>
        <v>0</v>
      </c>
      <c r="Y46" s="1114"/>
      <c r="Z46" s="1113">
        <f>P46</f>
        <v>0</v>
      </c>
      <c r="AA46" s="1114"/>
      <c r="AB46" s="1113">
        <f>P46</f>
        <v>0</v>
      </c>
      <c r="AC46" s="1115"/>
      <c r="AD46" s="1113">
        <f>P46</f>
        <v>0</v>
      </c>
      <c r="AE46" s="1111"/>
      <c r="AF46" s="1111"/>
      <c r="AG46" s="1111"/>
      <c r="AH46" s="614"/>
    </row>
    <row r="47" spans="1:34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610"/>
      <c r="P47" s="610"/>
      <c r="Y47" s="1074">
        <f>SUM(Y16:Y27)</f>
        <v>0</v>
      </c>
      <c r="Z47" s="1078" t="str">
        <f>Y15</f>
        <v>5</v>
      </c>
      <c r="AA47" s="1045">
        <f>SUM(AA16:AA27)</f>
        <v>0</v>
      </c>
      <c r="AB47" s="1078" t="str">
        <f>AA15</f>
        <v>6</v>
      </c>
      <c r="AC47" s="1045">
        <f>SUM(AC16:AC27)</f>
        <v>0</v>
      </c>
      <c r="AD47" s="1078" t="str">
        <f>AC15</f>
        <v>7</v>
      </c>
      <c r="AE47" s="610"/>
      <c r="AF47" s="610"/>
      <c r="AG47" s="610"/>
    </row>
    <row r="48" spans="1:34" x14ac:dyDescent="0.25">
      <c r="Q48" s="1033"/>
      <c r="R48" s="1034"/>
      <c r="S48" s="1035"/>
      <c r="X48" s="610"/>
      <c r="Y48" s="1076">
        <v>0</v>
      </c>
      <c r="Z48" s="935" t="str">
        <f>P44</f>
        <v>Prosinec</v>
      </c>
      <c r="AA48" s="1024">
        <v>0</v>
      </c>
      <c r="AB48" s="935" t="str">
        <f>P44</f>
        <v>Prosinec</v>
      </c>
      <c r="AC48" s="1024">
        <v>0</v>
      </c>
      <c r="AD48" s="935" t="str">
        <f>P44</f>
        <v>Prosinec</v>
      </c>
    </row>
    <row r="49" spans="17:31" ht="15.75" thickBot="1" x14ac:dyDescent="0.3">
      <c r="Q49" s="1033"/>
      <c r="R49" s="1034"/>
      <c r="S49" s="1035"/>
      <c r="X49" s="610"/>
      <c r="Y49" s="1077"/>
      <c r="Z49" s="971" t="str">
        <f>P45</f>
        <v>Leden</v>
      </c>
      <c r="AA49" s="974"/>
      <c r="AB49" s="971" t="str">
        <f>P45</f>
        <v>Leden</v>
      </c>
      <c r="AC49" s="1110"/>
      <c r="AD49" s="971" t="str">
        <f>P45</f>
        <v>Leden</v>
      </c>
    </row>
    <row r="50" spans="17:31" ht="16.5" thickTop="1" thickBot="1" x14ac:dyDescent="0.3">
      <c r="Q50" s="1033"/>
      <c r="R50" s="1034"/>
      <c r="S50" s="1035"/>
      <c r="X50" s="610"/>
      <c r="Y50" s="1023">
        <f>Y47-Y48-Y49</f>
        <v>0</v>
      </c>
      <c r="Z50" s="935">
        <f>P46</f>
        <v>0</v>
      </c>
      <c r="AA50" s="886">
        <f>AA47-AA48-AA49</f>
        <v>0</v>
      </c>
      <c r="AB50" s="935">
        <f>P46</f>
        <v>0</v>
      </c>
      <c r="AC50" s="1114">
        <f>AC47-AC48-AC49</f>
        <v>0</v>
      </c>
      <c r="AD50" s="1116">
        <f>P46</f>
        <v>0</v>
      </c>
    </row>
    <row r="51" spans="17:31" x14ac:dyDescent="0.25">
      <c r="Q51" s="1033"/>
      <c r="R51" s="1034"/>
      <c r="S51" s="1035"/>
      <c r="X51" s="610"/>
      <c r="Y51" s="1074">
        <f>SUM(Y29:Y41)</f>
        <v>0</v>
      </c>
      <c r="Z51" s="1078">
        <f>Y28</f>
        <v>8</v>
      </c>
      <c r="AA51" s="1045">
        <f>SUM(AA29:AA41)</f>
        <v>0</v>
      </c>
      <c r="AB51" s="1078">
        <f>AA28</f>
        <v>9</v>
      </c>
      <c r="AC51" s="1045">
        <f>SUM(AC29:AC41)</f>
        <v>0</v>
      </c>
      <c r="AD51" s="1126">
        <f>AC28</f>
        <v>10</v>
      </c>
      <c r="AE51" s="610"/>
    </row>
    <row r="52" spans="17:31" x14ac:dyDescent="0.25">
      <c r="Q52" s="1033"/>
      <c r="R52" s="1033"/>
      <c r="S52" s="1035"/>
      <c r="X52" s="610"/>
      <c r="Y52" s="1076">
        <v>0</v>
      </c>
      <c r="Z52" s="935" t="str">
        <f>P44</f>
        <v>Prosinec</v>
      </c>
      <c r="AA52" s="1024">
        <v>0</v>
      </c>
      <c r="AB52" s="935" t="str">
        <f>P44</f>
        <v>Prosinec</v>
      </c>
      <c r="AC52" s="1024">
        <v>0</v>
      </c>
      <c r="AD52" s="935" t="str">
        <f>P44</f>
        <v>Prosinec</v>
      </c>
    </row>
    <row r="53" spans="17:31" ht="15.75" thickBot="1" x14ac:dyDescent="0.3">
      <c r="Q53" s="1036"/>
      <c r="R53" s="1034"/>
      <c r="S53" s="1035"/>
      <c r="X53" s="610"/>
      <c r="Y53" s="1122">
        <f>Y51-Y52</f>
        <v>0</v>
      </c>
      <c r="Z53" s="971" t="str">
        <f>P45</f>
        <v>Leden</v>
      </c>
      <c r="AA53" s="1110">
        <f>AA51-AA52</f>
        <v>0</v>
      </c>
      <c r="AB53" s="971" t="str">
        <f>P45</f>
        <v>Leden</v>
      </c>
      <c r="AC53" s="974">
        <f>AC51-AC52</f>
        <v>0</v>
      </c>
      <c r="AD53" s="971" t="str">
        <f>P45</f>
        <v>Leden</v>
      </c>
    </row>
    <row r="54" spans="17:31" ht="16.5" thickTop="1" thickBot="1" x14ac:dyDescent="0.3">
      <c r="Q54" s="1036"/>
      <c r="R54" s="1034"/>
      <c r="S54" s="1035"/>
      <c r="X54" s="610"/>
      <c r="Y54" s="1023">
        <f>Y51-Y52-Y53</f>
        <v>0</v>
      </c>
      <c r="Z54" s="935">
        <f>P46</f>
        <v>0</v>
      </c>
      <c r="AA54" s="886">
        <f>AA51-AA52-AA53</f>
        <v>0</v>
      </c>
      <c r="AB54" s="935">
        <f>P46</f>
        <v>0</v>
      </c>
      <c r="AC54" s="1114"/>
      <c r="AD54" s="1111" t="s">
        <v>548</v>
      </c>
    </row>
    <row r="55" spans="17:31" x14ac:dyDescent="0.25">
      <c r="Q55" s="1035"/>
      <c r="R55" s="1035"/>
      <c r="S55" s="1035"/>
      <c r="Y55" s="1074">
        <f>SUM(Y9)</f>
        <v>0</v>
      </c>
      <c r="Z55" s="1078">
        <f>Y7</f>
        <v>0</v>
      </c>
      <c r="AA55" s="1045">
        <f>SUM(AA8:AA14)</f>
        <v>0</v>
      </c>
      <c r="AB55" s="1078">
        <f>AA7</f>
        <v>0</v>
      </c>
    </row>
    <row r="56" spans="17:31" x14ac:dyDescent="0.25">
      <c r="Q56" s="1035"/>
      <c r="R56" s="1037"/>
      <c r="S56" s="1035"/>
      <c r="Y56" s="1076">
        <v>0</v>
      </c>
      <c r="Z56" s="935" t="str">
        <f>P44</f>
        <v>Prosinec</v>
      </c>
      <c r="AA56" s="1024">
        <v>0</v>
      </c>
      <c r="AB56" s="935" t="str">
        <f>P44</f>
        <v>Prosinec</v>
      </c>
    </row>
    <row r="57" spans="17:31" ht="15.75" thickBot="1" x14ac:dyDescent="0.3">
      <c r="Q57" s="1035"/>
      <c r="R57" s="1037"/>
      <c r="S57" s="1035"/>
      <c r="X57" s="1135"/>
      <c r="Y57" s="1077">
        <f>Y55-Y56</f>
        <v>0</v>
      </c>
      <c r="Z57" s="971" t="str">
        <f>P45</f>
        <v>Leden</v>
      </c>
      <c r="AA57" s="1110"/>
      <c r="AB57" s="971" t="str">
        <f>P45</f>
        <v>Leden</v>
      </c>
    </row>
    <row r="58" spans="17:31" ht="15.75" thickTop="1" x14ac:dyDescent="0.25">
      <c r="Q58" s="1035"/>
      <c r="R58" s="1035"/>
      <c r="S58" s="1035"/>
      <c r="Y58" s="1023">
        <f>Y55-Y56-Y57</f>
        <v>0</v>
      </c>
      <c r="Z58" s="935">
        <f>P46</f>
        <v>0</v>
      </c>
      <c r="AA58" s="886">
        <f>AA55-AA56-AA57</f>
        <v>0</v>
      </c>
      <c r="AB58" s="935">
        <f>P46</f>
        <v>0</v>
      </c>
    </row>
    <row r="59" spans="17:31" x14ac:dyDescent="0.25">
      <c r="Q59" s="1035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Q61" s="1038"/>
      <c r="R61" s="1035"/>
      <c r="S61" s="1035"/>
    </row>
    <row r="62" spans="17:31" x14ac:dyDescent="0.25">
      <c r="Q62" s="1035"/>
      <c r="R62" s="1035"/>
      <c r="S62" s="1035"/>
    </row>
    <row r="63" spans="17:31" x14ac:dyDescent="0.25">
      <c r="R63" s="827"/>
    </row>
  </sheetData>
  <mergeCells count="25">
    <mergeCell ref="A42:C42"/>
    <mergeCell ref="G42:H42"/>
    <mergeCell ref="I42:K42"/>
    <mergeCell ref="L42:N42"/>
    <mergeCell ref="O42:P42"/>
    <mergeCell ref="Q42:R42"/>
    <mergeCell ref="AE1:AG1"/>
    <mergeCell ref="AH1:AI1"/>
    <mergeCell ref="AJ1:AK1"/>
    <mergeCell ref="AH4:AI4"/>
    <mergeCell ref="AJ4:AK4"/>
    <mergeCell ref="AH9:AI9"/>
    <mergeCell ref="Q1:AD1"/>
    <mergeCell ref="AE42:AG42"/>
    <mergeCell ref="S42:T42"/>
    <mergeCell ref="U42:V42"/>
    <mergeCell ref="W42:X42"/>
    <mergeCell ref="Y42:Z42"/>
    <mergeCell ref="AA42:AB42"/>
    <mergeCell ref="AC42:AD42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C7F95D-A39E-274A-B099-4FAF328B3937}">
  <sheetPr>
    <tabColor rgb="FFC00000"/>
  </sheetPr>
  <dimension ref="A1:V45"/>
  <sheetViews>
    <sheetView zoomScaleNormal="60" zoomScaleSheetLayoutView="100" workbookViewId="0">
      <selection activeCell="P19" sqref="P19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10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1080">
        <v>44896</v>
      </c>
      <c r="B2" s="656" t="str">
        <f t="shared" ref="B2:B35" si="0">CHOOSE(WEEKDAY(V2),"Po","Út","St","Čt","Pá","So","Ne")</f>
        <v>Čt</v>
      </c>
      <c r="C2" s="724">
        <f t="shared" ref="C2:C35" si="1">G2-E2-F2</f>
        <v>0</v>
      </c>
      <c r="D2" s="1079">
        <f t="shared" ref="D2:D35" si="2">(N2*C2)*24</f>
        <v>0</v>
      </c>
      <c r="E2" s="724"/>
      <c r="F2" s="724"/>
      <c r="G2" s="724"/>
      <c r="H2" s="654"/>
      <c r="I2" s="657"/>
      <c r="J2" s="654" t="s">
        <v>451</v>
      </c>
      <c r="K2" s="656"/>
      <c r="L2" s="654"/>
      <c r="M2" s="657">
        <v>42</v>
      </c>
      <c r="N2" s="713"/>
      <c r="O2" s="1081">
        <f>(O4+O6)</f>
        <v>137</v>
      </c>
      <c r="P2" s="656">
        <f t="shared" ref="P2" si="3">P4+P6</f>
        <v>0</v>
      </c>
      <c r="Q2" s="1094">
        <f>'11hod22'!Q5</f>
        <v>0</v>
      </c>
      <c r="R2" s="644" t="s">
        <v>17</v>
      </c>
      <c r="S2" s="1092" t="str">
        <f>'11hod22'!S5</f>
        <v>Výplata za Listopad</v>
      </c>
      <c r="T2" s="1093" t="str">
        <f>'11hod22'!T5</f>
        <v>xx.07.2022</v>
      </c>
      <c r="U2" s="722">
        <f>T7*20</f>
        <v>0</v>
      </c>
      <c r="V2" s="642">
        <f t="shared" ref="V2:V32" si="4">WEEKDAY(A2,2)</f>
        <v>4</v>
      </c>
    </row>
    <row r="3" spans="1:22" x14ac:dyDescent="0.25">
      <c r="A3" s="1080">
        <v>44897</v>
      </c>
      <c r="B3" s="657" t="str">
        <f t="shared" si="0"/>
        <v>Pá</v>
      </c>
      <c r="C3" s="724">
        <f t="shared" si="1"/>
        <v>0</v>
      </c>
      <c r="D3" s="1079">
        <f t="shared" si="2"/>
        <v>0</v>
      </c>
      <c r="E3" s="724"/>
      <c r="F3" s="724"/>
      <c r="G3" s="724"/>
      <c r="H3" s="654"/>
      <c r="I3" s="657"/>
      <c r="J3" s="654"/>
      <c r="K3" s="657"/>
      <c r="L3" s="654"/>
      <c r="M3" s="657"/>
      <c r="N3" s="714"/>
      <c r="O3" s="654" t="s">
        <v>19</v>
      </c>
      <c r="P3" s="657" t="s">
        <v>19</v>
      </c>
      <c r="Q3" s="738">
        <v>0</v>
      </c>
      <c r="R3" s="611" t="s">
        <v>48</v>
      </c>
      <c r="S3" s="611" t="s">
        <v>48</v>
      </c>
      <c r="T3" s="874">
        <v>1</v>
      </c>
      <c r="U3" s="718"/>
      <c r="V3" s="642">
        <f t="shared" si="4"/>
        <v>5</v>
      </c>
    </row>
    <row r="4" spans="1:22" x14ac:dyDescent="0.25">
      <c r="A4" s="1080">
        <v>44898</v>
      </c>
      <c r="B4" s="657" t="str">
        <f t="shared" si="0"/>
        <v>So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1082">
        <f>O40*24</f>
        <v>137</v>
      </c>
      <c r="P4" s="657">
        <v>0</v>
      </c>
      <c r="Q4" s="738">
        <v>0</v>
      </c>
      <c r="R4" s="611" t="s">
        <v>17</v>
      </c>
      <c r="S4" s="611" t="s">
        <v>158</v>
      </c>
      <c r="T4" s="646"/>
      <c r="U4" s="718"/>
      <c r="V4" s="642">
        <f t="shared" si="4"/>
        <v>6</v>
      </c>
    </row>
    <row r="5" spans="1:22" x14ac:dyDescent="0.25">
      <c r="A5" s="1080">
        <v>44899</v>
      </c>
      <c r="B5" s="657" t="str">
        <f t="shared" si="0"/>
        <v>Ne</v>
      </c>
      <c r="C5" s="724">
        <f t="shared" si="1"/>
        <v>0</v>
      </c>
      <c r="D5" s="1079">
        <f t="shared" si="2"/>
        <v>0</v>
      </c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654" t="s">
        <v>14</v>
      </c>
      <c r="P5" s="657" t="s">
        <v>14</v>
      </c>
      <c r="Q5" s="738">
        <v>0</v>
      </c>
      <c r="R5" s="611" t="s">
        <v>17</v>
      </c>
      <c r="S5" s="611" t="s">
        <v>312</v>
      </c>
      <c r="T5" s="874">
        <v>44941</v>
      </c>
      <c r="U5" s="718"/>
      <c r="V5" s="642">
        <f t="shared" si="4"/>
        <v>7</v>
      </c>
    </row>
    <row r="6" spans="1:22" ht="15.75" thickBot="1" x14ac:dyDescent="0.3">
      <c r="A6" s="1080">
        <v>44900</v>
      </c>
      <c r="B6" s="657" t="str">
        <f t="shared" si="0"/>
        <v>Po</v>
      </c>
      <c r="C6" s="724">
        <f t="shared" si="1"/>
        <v>0.25000000000000006</v>
      </c>
      <c r="D6" s="1079">
        <f t="shared" si="2"/>
        <v>0</v>
      </c>
      <c r="E6" s="724">
        <v>0.45833333333333331</v>
      </c>
      <c r="F6" s="724"/>
      <c r="G6" s="724">
        <v>0.70833333333333337</v>
      </c>
      <c r="H6" s="654"/>
      <c r="I6" s="657"/>
      <c r="J6" s="654"/>
      <c r="K6" s="657"/>
      <c r="L6" s="654"/>
      <c r="M6" s="657"/>
      <c r="N6" s="714"/>
      <c r="O6" s="1082">
        <f>O41*24</f>
        <v>0</v>
      </c>
      <c r="P6" s="657">
        <v>0</v>
      </c>
      <c r="Q6" s="712" t="s">
        <v>134</v>
      </c>
      <c r="R6" s="647"/>
      <c r="S6" s="647" t="s">
        <v>48</v>
      </c>
      <c r="T6" s="648"/>
      <c r="U6" s="718"/>
      <c r="V6" s="642">
        <f t="shared" si="4"/>
        <v>1</v>
      </c>
    </row>
    <row r="7" spans="1:22" x14ac:dyDescent="0.25">
      <c r="A7" s="1080">
        <v>44901</v>
      </c>
      <c r="B7" s="657" t="str">
        <f t="shared" si="0"/>
        <v>Út</v>
      </c>
      <c r="C7" s="724">
        <f t="shared" si="1"/>
        <v>0.39583333333333337</v>
      </c>
      <c r="D7" s="1079">
        <f t="shared" si="2"/>
        <v>0</v>
      </c>
      <c r="E7" s="724">
        <v>0.33333333333333331</v>
      </c>
      <c r="F7" s="724">
        <f t="shared" ref="F7:F8" si="5">TIME(0,30,0)</f>
        <v>2.0833333333333332E-2</v>
      </c>
      <c r="G7" s="724">
        <v>0.75</v>
      </c>
      <c r="H7" s="654"/>
      <c r="I7" s="657"/>
      <c r="J7" s="654"/>
      <c r="K7" s="657"/>
      <c r="L7" s="654"/>
      <c r="M7" s="657"/>
      <c r="N7" s="714"/>
      <c r="O7" s="654" t="s">
        <v>20</v>
      </c>
      <c r="P7" s="1026" t="s">
        <v>20</v>
      </c>
      <c r="Q7" s="721">
        <f>Q3+Q4</f>
        <v>0</v>
      </c>
      <c r="R7" s="718"/>
      <c r="S7" s="718"/>
      <c r="T7" s="718"/>
      <c r="U7" s="718"/>
      <c r="V7" s="642">
        <f t="shared" si="4"/>
        <v>2</v>
      </c>
    </row>
    <row r="8" spans="1:22" x14ac:dyDescent="0.25">
      <c r="A8" s="1080">
        <v>44902</v>
      </c>
      <c r="B8" s="657" t="str">
        <f t="shared" si="0"/>
        <v>St</v>
      </c>
      <c r="C8" s="724">
        <f t="shared" si="1"/>
        <v>0.37500000000000006</v>
      </c>
      <c r="D8" s="1079">
        <f t="shared" si="2"/>
        <v>0</v>
      </c>
      <c r="E8" s="724">
        <v>0.40625</v>
      </c>
      <c r="F8" s="724">
        <f t="shared" si="5"/>
        <v>2.0833333333333332E-2</v>
      </c>
      <c r="G8" s="724">
        <v>0.80208333333333337</v>
      </c>
      <c r="H8" s="654"/>
      <c r="I8" s="657"/>
      <c r="J8" s="654"/>
      <c r="K8" s="657"/>
      <c r="L8" s="654"/>
      <c r="M8" s="657"/>
      <c r="N8" s="714"/>
      <c r="O8" s="654" t="s">
        <v>509</v>
      </c>
      <c r="P8" s="1026" t="s">
        <v>509</v>
      </c>
      <c r="Q8" s="657" t="s">
        <v>229</v>
      </c>
      <c r="R8" s="718"/>
      <c r="S8" s="718"/>
      <c r="T8" s="718"/>
      <c r="U8" s="718"/>
      <c r="V8" s="642">
        <f t="shared" si="4"/>
        <v>3</v>
      </c>
    </row>
    <row r="9" spans="1:22" x14ac:dyDescent="0.25">
      <c r="A9" s="1080">
        <v>44903</v>
      </c>
      <c r="B9" s="657" t="str">
        <f t="shared" si="0"/>
        <v>Čt</v>
      </c>
      <c r="C9" s="724">
        <f t="shared" si="1"/>
        <v>0.41666666666666663</v>
      </c>
      <c r="D9" s="1079">
        <f t="shared" si="2"/>
        <v>0</v>
      </c>
      <c r="E9" s="724">
        <v>0.33333333333333331</v>
      </c>
      <c r="F9" s="724">
        <f>TIME(1,0,0)</f>
        <v>4.1666666666666664E-2</v>
      </c>
      <c r="G9" s="724">
        <v>0.79166666666666663</v>
      </c>
      <c r="H9" s="654"/>
      <c r="I9" s="657"/>
      <c r="J9" s="654"/>
      <c r="K9" s="657"/>
      <c r="L9" s="654"/>
      <c r="M9" s="657"/>
      <c r="N9" s="714"/>
      <c r="O9" s="654" t="s">
        <v>23</v>
      </c>
      <c r="P9" s="1026" t="s">
        <v>23</v>
      </c>
      <c r="Q9" s="657">
        <f>SUM(Q2:Q4)</f>
        <v>0</v>
      </c>
      <c r="R9" s="718"/>
      <c r="S9" s="718"/>
      <c r="T9" s="718"/>
      <c r="U9" s="718"/>
      <c r="V9" s="642">
        <f t="shared" si="4"/>
        <v>4</v>
      </c>
    </row>
    <row r="10" spans="1:22" x14ac:dyDescent="0.25">
      <c r="A10" s="1080">
        <v>44904</v>
      </c>
      <c r="B10" s="657" t="str">
        <f t="shared" si="0"/>
        <v>Pá</v>
      </c>
      <c r="C10" s="724">
        <f t="shared" si="1"/>
        <v>0.43749999999999994</v>
      </c>
      <c r="D10" s="1079">
        <f t="shared" si="2"/>
        <v>0</v>
      </c>
      <c r="E10" s="724">
        <v>0.3125</v>
      </c>
      <c r="F10" s="724">
        <f>TIME(1,0,0)</f>
        <v>4.1666666666666664E-2</v>
      </c>
      <c r="G10" s="724">
        <v>0.79166666666666663</v>
      </c>
      <c r="H10" s="654"/>
      <c r="I10" s="657"/>
      <c r="J10" s="654"/>
      <c r="K10" s="657"/>
      <c r="L10" s="654"/>
      <c r="M10" s="657"/>
      <c r="N10" s="714"/>
      <c r="O10" s="1083">
        <f>(O2*380)+U2</f>
        <v>52060</v>
      </c>
      <c r="P10" s="1088">
        <f>SUM(P2*380)</f>
        <v>0</v>
      </c>
      <c r="Q10" s="719"/>
      <c r="R10" s="718"/>
      <c r="S10" s="718"/>
      <c r="T10" s="718"/>
      <c r="U10" s="718"/>
      <c r="V10" s="642">
        <f t="shared" si="4"/>
        <v>5</v>
      </c>
    </row>
    <row r="11" spans="1:22" x14ac:dyDescent="0.25">
      <c r="A11" s="1080">
        <v>44905</v>
      </c>
      <c r="B11" s="657" t="str">
        <f t="shared" si="0"/>
        <v>So</v>
      </c>
      <c r="C11" s="724">
        <f t="shared" si="1"/>
        <v>0.33333333333333337</v>
      </c>
      <c r="D11" s="1079">
        <f t="shared" si="2"/>
        <v>0</v>
      </c>
      <c r="E11" s="724">
        <v>0.29166666666666669</v>
      </c>
      <c r="F11" s="724">
        <f>TIME(0,30,0)</f>
        <v>2.0833333333333332E-2</v>
      </c>
      <c r="G11" s="724">
        <v>0.64583333333333337</v>
      </c>
      <c r="H11" s="654"/>
      <c r="I11" s="657"/>
      <c r="J11" s="654"/>
      <c r="K11" s="657"/>
      <c r="L11" s="654"/>
      <c r="M11" s="657"/>
      <c r="N11" s="714"/>
      <c r="O11" s="654" t="s">
        <v>361</v>
      </c>
      <c r="P11" s="1026" t="s">
        <v>361</v>
      </c>
      <c r="Q11" s="718"/>
      <c r="R11" s="718"/>
      <c r="S11" s="718"/>
      <c r="T11" s="718"/>
      <c r="U11" s="718"/>
      <c r="V11" s="642">
        <f t="shared" si="4"/>
        <v>6</v>
      </c>
    </row>
    <row r="12" spans="1:22" x14ac:dyDescent="0.25">
      <c r="A12" s="1080">
        <v>44906</v>
      </c>
      <c r="B12" s="657" t="str">
        <f t="shared" si="0"/>
        <v>Ne</v>
      </c>
      <c r="C12" s="724">
        <f>G12-E12-F12</f>
        <v>0</v>
      </c>
      <c r="D12" s="1079">
        <f t="shared" si="2"/>
        <v>0</v>
      </c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1083">
        <f>(O10+O20+O18-O22)-O14-P24</f>
        <v>-45205.539600000004</v>
      </c>
      <c r="P12" s="1088">
        <f>(P10+P18+P20-P22)-P14-P24</f>
        <v>-99904.819900000002</v>
      </c>
      <c r="Q12" s="718"/>
      <c r="R12" s="718"/>
      <c r="S12" s="718"/>
      <c r="T12" s="718"/>
      <c r="U12" s="718"/>
      <c r="V12" s="642">
        <f t="shared" si="4"/>
        <v>7</v>
      </c>
    </row>
    <row r="13" spans="1:22" x14ac:dyDescent="0.25">
      <c r="A13" s="1080">
        <v>44907</v>
      </c>
      <c r="B13" s="657" t="str">
        <f t="shared" si="0"/>
        <v>Po</v>
      </c>
      <c r="C13" s="724">
        <f t="shared" si="1"/>
        <v>0.43749999999999994</v>
      </c>
      <c r="D13" s="1079">
        <f t="shared" si="2"/>
        <v>0</v>
      </c>
      <c r="E13" s="724">
        <v>0.3125</v>
      </c>
      <c r="F13" s="724">
        <f t="shared" ref="F13:F18" si="6">TIME(1,0,0)</f>
        <v>4.1666666666666664E-2</v>
      </c>
      <c r="G13" s="724">
        <v>0.79166666666666663</v>
      </c>
      <c r="H13" s="654"/>
      <c r="I13" s="657"/>
      <c r="J13" s="654"/>
      <c r="K13" s="657"/>
      <c r="L13" s="654"/>
      <c r="M13" s="657"/>
      <c r="N13" s="714"/>
      <c r="O13" s="654" t="s">
        <v>26</v>
      </c>
      <c r="P13" s="1088" t="s">
        <v>26</v>
      </c>
      <c r="Q13" s="718"/>
      <c r="R13" s="718"/>
      <c r="S13" s="718"/>
      <c r="T13" s="718"/>
      <c r="U13" s="718"/>
      <c r="V13" s="642">
        <f t="shared" si="4"/>
        <v>1</v>
      </c>
    </row>
    <row r="14" spans="1:22" x14ac:dyDescent="0.25">
      <c r="A14" s="1080">
        <v>44908</v>
      </c>
      <c r="B14" s="657" t="str">
        <f t="shared" si="0"/>
        <v>Út</v>
      </c>
      <c r="C14" s="724">
        <f t="shared" si="1"/>
        <v>0.40625</v>
      </c>
      <c r="D14" s="1079">
        <f t="shared" si="2"/>
        <v>0</v>
      </c>
      <c r="E14" s="724">
        <v>0.30208333333333331</v>
      </c>
      <c r="F14" s="724">
        <f t="shared" si="6"/>
        <v>4.1666666666666664E-2</v>
      </c>
      <c r="G14" s="724">
        <v>0.75</v>
      </c>
      <c r="H14" s="654"/>
      <c r="I14" s="657"/>
      <c r="J14" s="654"/>
      <c r="K14" s="657"/>
      <c r="L14" s="654"/>
      <c r="M14" s="657"/>
      <c r="N14" s="714"/>
      <c r="O14" s="1083">
        <f>(O16*24.12)</f>
        <v>45148.539600000004</v>
      </c>
      <c r="P14" s="1088">
        <f>(P16*25.53)</f>
        <v>47787.81990000001</v>
      </c>
      <c r="Q14" s="923" t="s">
        <v>458</v>
      </c>
      <c r="R14" s="1004">
        <f>P14+P22-P18</f>
        <v>91668.819900000002</v>
      </c>
      <c r="S14" s="1007"/>
      <c r="T14" s="923" t="s">
        <v>462</v>
      </c>
      <c r="U14" s="1004">
        <f>P14+P22</f>
        <v>92840.819900000002</v>
      </c>
      <c r="V14" s="642">
        <f t="shared" si="4"/>
        <v>2</v>
      </c>
    </row>
    <row r="15" spans="1:22" x14ac:dyDescent="0.25">
      <c r="A15" s="1080">
        <v>44909</v>
      </c>
      <c r="B15" s="657" t="str">
        <f t="shared" si="0"/>
        <v>St</v>
      </c>
      <c r="C15" s="724">
        <f t="shared" si="1"/>
        <v>0.42708333333333337</v>
      </c>
      <c r="D15" s="1079">
        <f t="shared" si="2"/>
        <v>0</v>
      </c>
      <c r="E15" s="724">
        <v>0.30208333333333331</v>
      </c>
      <c r="F15" s="724">
        <f t="shared" si="6"/>
        <v>4.1666666666666664E-2</v>
      </c>
      <c r="G15" s="724">
        <v>0.77083333333333337</v>
      </c>
      <c r="H15" s="654"/>
      <c r="I15" s="657"/>
      <c r="J15" s="654"/>
      <c r="K15" s="657"/>
      <c r="L15" s="654"/>
      <c r="M15" s="657"/>
      <c r="N15" s="714"/>
      <c r="O15" s="654" t="s">
        <v>29</v>
      </c>
      <c r="P15" s="1026" t="s">
        <v>29</v>
      </c>
      <c r="Q15" s="1001" t="s">
        <v>459</v>
      </c>
      <c r="R15" s="1002">
        <f>P10</f>
        <v>0</v>
      </c>
      <c r="S15" s="1008"/>
      <c r="T15" s="1001" t="s">
        <v>463</v>
      </c>
      <c r="U15" s="1002">
        <f>P10+P18+P20+O28</f>
        <v>91111</v>
      </c>
      <c r="V15" s="642">
        <f t="shared" si="4"/>
        <v>3</v>
      </c>
    </row>
    <row r="16" spans="1:22" x14ac:dyDescent="0.25">
      <c r="A16" s="1080">
        <v>44910</v>
      </c>
      <c r="B16" s="657" t="str">
        <f t="shared" si="0"/>
        <v>Čt</v>
      </c>
      <c r="C16" s="724">
        <f t="shared" si="1"/>
        <v>0.35416666666666663</v>
      </c>
      <c r="D16" s="1079">
        <f t="shared" si="2"/>
        <v>0</v>
      </c>
      <c r="E16" s="724">
        <v>0.39583333333333331</v>
      </c>
      <c r="F16" s="724">
        <f t="shared" si="6"/>
        <v>4.1666666666666664E-2</v>
      </c>
      <c r="G16" s="724">
        <v>0.79166666666666663</v>
      </c>
      <c r="H16" s="654"/>
      <c r="I16" s="657"/>
      <c r="J16" s="654"/>
      <c r="K16" s="657"/>
      <c r="L16" s="654"/>
      <c r="M16" s="657"/>
      <c r="N16" s="714"/>
      <c r="O16" s="1152">
        <f>'08cash04.12-21.12.22'!O45+30</f>
        <v>1871.8300000000002</v>
      </c>
      <c r="P16" s="1089">
        <f>Tabulka41425679624252229283133364446[[#This Row],[CELKEM HODIN]]</f>
        <v>1871.8300000000002</v>
      </c>
      <c r="Q16" s="1001"/>
      <c r="R16" s="1003">
        <f>R15-R14</f>
        <v>-91668.819900000002</v>
      </c>
      <c r="S16" s="1008"/>
      <c r="T16" s="1001" t="s">
        <v>513</v>
      </c>
      <c r="U16" s="1002">
        <f>U15-U14</f>
        <v>-1729.8199000000022</v>
      </c>
      <c r="V16" s="642">
        <f t="shared" si="4"/>
        <v>4</v>
      </c>
    </row>
    <row r="17" spans="1:22" x14ac:dyDescent="0.25">
      <c r="A17" s="1080">
        <v>44911</v>
      </c>
      <c r="B17" s="657" t="str">
        <f t="shared" si="0"/>
        <v>Pá</v>
      </c>
      <c r="C17" s="724">
        <f t="shared" si="1"/>
        <v>0.41666666666666663</v>
      </c>
      <c r="D17" s="1079">
        <f t="shared" si="2"/>
        <v>0</v>
      </c>
      <c r="E17" s="724">
        <v>0.29166666666666669</v>
      </c>
      <c r="F17" s="724">
        <f t="shared" si="6"/>
        <v>4.1666666666666664E-2</v>
      </c>
      <c r="G17" s="724">
        <v>0.75</v>
      </c>
      <c r="H17" s="654"/>
      <c r="I17" s="657"/>
      <c r="J17" s="654"/>
      <c r="K17" s="657"/>
      <c r="L17" s="654"/>
      <c r="M17" s="657"/>
      <c r="N17" s="714"/>
      <c r="O17" s="654" t="s">
        <v>31</v>
      </c>
      <c r="P17" s="1026" t="s">
        <v>31</v>
      </c>
      <c r="Q17" s="1002">
        <f>R16-Q5-Q7</f>
        <v>-91668.819900000002</v>
      </c>
      <c r="R17" s="1001"/>
      <c r="S17" s="1009"/>
      <c r="T17" s="1001" t="s">
        <v>514</v>
      </c>
      <c r="U17" s="1002">
        <f>U16-Q5-Q7</f>
        <v>-1729.8199000000022</v>
      </c>
      <c r="V17" s="642">
        <f t="shared" si="4"/>
        <v>5</v>
      </c>
    </row>
    <row r="18" spans="1:22" x14ac:dyDescent="0.25">
      <c r="A18" s="1080">
        <v>44912</v>
      </c>
      <c r="B18" s="657" t="str">
        <f t="shared" si="0"/>
        <v>So</v>
      </c>
      <c r="C18" s="724">
        <f t="shared" si="1"/>
        <v>0.3125</v>
      </c>
      <c r="D18" s="1079">
        <f t="shared" si="2"/>
        <v>0</v>
      </c>
      <c r="E18" s="724">
        <v>0.29166666666666669</v>
      </c>
      <c r="F18" s="724">
        <f t="shared" si="6"/>
        <v>4.1666666666666664E-2</v>
      </c>
      <c r="G18" s="724">
        <v>0.64583333333333337</v>
      </c>
      <c r="H18" s="654"/>
      <c r="I18" s="657"/>
      <c r="J18" s="654"/>
      <c r="K18" s="657"/>
      <c r="L18" s="654"/>
      <c r="M18" s="657"/>
      <c r="N18" s="714"/>
      <c r="O18" s="1083">
        <v>1172</v>
      </c>
      <c r="P18" s="1088">
        <v>1172</v>
      </c>
      <c r="Q18" s="1001"/>
      <c r="R18" s="1001"/>
      <c r="S18" s="1008"/>
      <c r="T18" s="1001"/>
      <c r="U18" s="1001"/>
      <c r="V18" s="642">
        <f t="shared" si="4"/>
        <v>6</v>
      </c>
    </row>
    <row r="19" spans="1:22" x14ac:dyDescent="0.25">
      <c r="A19" s="1080">
        <v>44913</v>
      </c>
      <c r="B19" s="657" t="str">
        <f t="shared" si="0"/>
        <v>Ne</v>
      </c>
      <c r="C19" s="724">
        <f t="shared" si="1"/>
        <v>0</v>
      </c>
      <c r="D19" s="1079">
        <f t="shared" si="2"/>
        <v>0</v>
      </c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 t="s">
        <v>33</v>
      </c>
      <c r="P19" s="1088" t="s">
        <v>33</v>
      </c>
      <c r="Q19" s="1001"/>
      <c r="R19" s="1001"/>
      <c r="S19" s="1008"/>
      <c r="T19" s="1001"/>
      <c r="U19" s="1001"/>
      <c r="V19" s="642">
        <f t="shared" si="4"/>
        <v>7</v>
      </c>
    </row>
    <row r="20" spans="1:22" x14ac:dyDescent="0.25">
      <c r="A20" s="1080">
        <v>44914</v>
      </c>
      <c r="B20" s="657" t="str">
        <f t="shared" si="0"/>
        <v>Po</v>
      </c>
      <c r="C20" s="724">
        <f t="shared" si="1"/>
        <v>0.45833333333333326</v>
      </c>
      <c r="D20" s="1079">
        <f t="shared" si="2"/>
        <v>0</v>
      </c>
      <c r="E20" s="724">
        <v>0.29166666666666669</v>
      </c>
      <c r="F20" s="724">
        <f>TIME(1,0,0)</f>
        <v>4.1666666666666664E-2</v>
      </c>
      <c r="G20" s="724">
        <v>0.79166666666666663</v>
      </c>
      <c r="H20" s="654"/>
      <c r="I20" s="657"/>
      <c r="J20" s="654"/>
      <c r="K20" s="657"/>
      <c r="L20" s="654"/>
      <c r="M20" s="657"/>
      <c r="N20" s="714"/>
      <c r="O20" s="1083">
        <v>0</v>
      </c>
      <c r="P20" s="1088">
        <v>0</v>
      </c>
      <c r="Q20" s="1001"/>
      <c r="R20" s="1001"/>
      <c r="S20" s="1008"/>
      <c r="T20" s="1001"/>
      <c r="U20" s="1001"/>
      <c r="V20" s="642">
        <f t="shared" si="4"/>
        <v>1</v>
      </c>
    </row>
    <row r="21" spans="1:22" x14ac:dyDescent="0.25">
      <c r="A21" s="1080">
        <v>44915</v>
      </c>
      <c r="B21" s="657" t="str">
        <f t="shared" si="0"/>
        <v>Út</v>
      </c>
      <c r="C21" s="724">
        <f t="shared" si="1"/>
        <v>0.45833333333333326</v>
      </c>
      <c r="D21" s="1079">
        <f t="shared" si="2"/>
        <v>0</v>
      </c>
      <c r="E21" s="724">
        <v>0.29166666666666669</v>
      </c>
      <c r="F21" s="724">
        <f>TIME(1,0,0)</f>
        <v>4.1666666666666664E-2</v>
      </c>
      <c r="G21" s="724">
        <v>0.79166666666666663</v>
      </c>
      <c r="H21" s="654"/>
      <c r="I21" s="657"/>
      <c r="J21" s="654"/>
      <c r="K21" s="657"/>
      <c r="L21" s="654"/>
      <c r="M21" s="657"/>
      <c r="N21" s="714"/>
      <c r="O21" s="1083" t="s">
        <v>34</v>
      </c>
      <c r="P21" s="1088" t="s">
        <v>34</v>
      </c>
      <c r="Q21" s="1001"/>
      <c r="R21" s="1001"/>
      <c r="S21" s="1008"/>
      <c r="T21" s="1001"/>
      <c r="U21" s="1001"/>
      <c r="V21" s="642">
        <f t="shared" si="4"/>
        <v>2</v>
      </c>
    </row>
    <row r="22" spans="1:22" x14ac:dyDescent="0.25">
      <c r="A22" s="1080">
        <v>44916</v>
      </c>
      <c r="B22" s="657" t="str">
        <f t="shared" si="0"/>
        <v>St</v>
      </c>
      <c r="C22" s="724">
        <f t="shared" si="1"/>
        <v>0.22916666666666663</v>
      </c>
      <c r="D22" s="1079">
        <f t="shared" si="2"/>
        <v>0</v>
      </c>
      <c r="E22" s="724">
        <v>0.3125</v>
      </c>
      <c r="F22" s="724"/>
      <c r="G22" s="724">
        <v>0.54166666666666663</v>
      </c>
      <c r="H22" s="654"/>
      <c r="I22" s="657"/>
      <c r="J22" s="654"/>
      <c r="K22" s="657"/>
      <c r="L22" s="654"/>
      <c r="M22" s="657"/>
      <c r="N22" s="714"/>
      <c r="O22" s="1083">
        <v>45053</v>
      </c>
      <c r="P22" s="1088">
        <v>45053</v>
      </c>
      <c r="Q22" s="1001"/>
      <c r="R22" s="1017"/>
      <c r="S22" s="718"/>
      <c r="T22" s="1001"/>
      <c r="U22" s="1001"/>
      <c r="V22" s="642">
        <f t="shared" si="4"/>
        <v>3</v>
      </c>
    </row>
    <row r="23" spans="1:22" x14ac:dyDescent="0.25">
      <c r="A23" s="1080">
        <v>44917</v>
      </c>
      <c r="B23" s="657" t="str">
        <f t="shared" si="0"/>
        <v>Čt</v>
      </c>
      <c r="C23" s="724">
        <f t="shared" si="1"/>
        <v>0</v>
      </c>
      <c r="D23" s="1079">
        <f t="shared" si="2"/>
        <v>0</v>
      </c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5" t="s">
        <v>364</v>
      </c>
      <c r="P23" s="1090" t="s">
        <v>363</v>
      </c>
      <c r="Q23" s="1015">
        <f>Q17-P24</f>
        <v>-99904.819900000002</v>
      </c>
      <c r="R23" s="1018"/>
      <c r="S23" s="1015">
        <f>U17-O26</f>
        <v>-99904.819900000002</v>
      </c>
      <c r="T23" s="1001"/>
      <c r="U23" s="1001"/>
      <c r="V23" s="642">
        <f t="shared" si="4"/>
        <v>4</v>
      </c>
    </row>
    <row r="24" spans="1:22" x14ac:dyDescent="0.25">
      <c r="A24" s="1080">
        <v>44918</v>
      </c>
      <c r="B24" s="657" t="str">
        <f t="shared" si="0"/>
        <v>Pá</v>
      </c>
      <c r="C24" s="724">
        <f t="shared" si="1"/>
        <v>0</v>
      </c>
      <c r="D24" s="1079">
        <f t="shared" si="2"/>
        <v>0</v>
      </c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6">
        <f>P12-Q5</f>
        <v>-99904.819900000002</v>
      </c>
      <c r="P24" s="1088">
        <f>O26-O28</f>
        <v>8236</v>
      </c>
      <c r="Q24" s="1020"/>
      <c r="R24" s="1019"/>
      <c r="S24" s="1006"/>
      <c r="T24" s="1006"/>
      <c r="U24" s="1006"/>
      <c r="V24" s="642">
        <f t="shared" si="4"/>
        <v>5</v>
      </c>
    </row>
    <row r="25" spans="1:22" x14ac:dyDescent="0.25">
      <c r="A25" s="1080">
        <v>44919</v>
      </c>
      <c r="B25" s="657" t="str">
        <f t="shared" si="0"/>
        <v>So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654" t="s">
        <v>372</v>
      </c>
      <c r="P25" s="1026"/>
      <c r="Q25" s="718"/>
      <c r="R25" s="718"/>
      <c r="S25" s="718"/>
      <c r="T25" s="718"/>
      <c r="U25" s="718"/>
      <c r="V25" s="642">
        <f t="shared" si="4"/>
        <v>6</v>
      </c>
    </row>
    <row r="26" spans="1:22" x14ac:dyDescent="0.25">
      <c r="A26" s="1080">
        <v>44920</v>
      </c>
      <c r="B26" s="657" t="str">
        <f t="shared" si="0"/>
        <v>Ne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1083">
        <v>98175</v>
      </c>
      <c r="P26" s="1088"/>
      <c r="Q26" s="718"/>
      <c r="R26" s="718"/>
      <c r="S26" s="718"/>
      <c r="T26" s="718"/>
      <c r="U26" s="718"/>
      <c r="V26" s="642">
        <f t="shared" si="4"/>
        <v>7</v>
      </c>
    </row>
    <row r="27" spans="1:22" x14ac:dyDescent="0.25">
      <c r="A27" s="1080">
        <v>44921</v>
      </c>
      <c r="B27" s="657" t="str">
        <f t="shared" si="0"/>
        <v>Po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654" t="s">
        <v>373</v>
      </c>
      <c r="P27" s="1026"/>
      <c r="Q27" s="718"/>
      <c r="R27" s="718"/>
      <c r="S27" s="718"/>
      <c r="T27" s="718"/>
      <c r="U27" s="718"/>
      <c r="V27" s="642">
        <f t="shared" si="4"/>
        <v>1</v>
      </c>
    </row>
    <row r="28" spans="1:22" x14ac:dyDescent="0.25">
      <c r="A28" s="1080">
        <v>44922</v>
      </c>
      <c r="B28" s="657" t="str">
        <f t="shared" si="0"/>
        <v>Út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1095">
        <f>'11hod22'!O26</f>
        <v>89939</v>
      </c>
      <c r="P28" s="1026"/>
      <c r="Q28" s="718"/>
      <c r="R28" s="718"/>
      <c r="S28" s="718"/>
      <c r="T28" s="718"/>
      <c r="U28" s="718"/>
      <c r="V28" s="642">
        <f t="shared" si="4"/>
        <v>2</v>
      </c>
    </row>
    <row r="29" spans="1:22" x14ac:dyDescent="0.25">
      <c r="A29" s="1080">
        <v>44923</v>
      </c>
      <c r="B29" s="657" t="str">
        <f t="shared" si="0"/>
        <v>St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/>
      <c r="P29" s="1083"/>
      <c r="Q29" s="718"/>
      <c r="R29" s="718"/>
      <c r="S29" s="718"/>
      <c r="T29" s="718"/>
      <c r="U29" s="718"/>
      <c r="V29" s="642">
        <f t="shared" si="4"/>
        <v>3</v>
      </c>
    </row>
    <row r="30" spans="1:22" x14ac:dyDescent="0.25">
      <c r="A30" s="1080">
        <v>44924</v>
      </c>
      <c r="B30" s="657" t="str">
        <f t="shared" si="0"/>
        <v>Čt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918"/>
      <c r="P30" s="1091"/>
      <c r="Q30" s="718"/>
      <c r="R30" s="718"/>
      <c r="S30" s="718"/>
      <c r="T30" s="718"/>
      <c r="U30" s="718"/>
      <c r="V30" s="642">
        <f t="shared" si="4"/>
        <v>4</v>
      </c>
    </row>
    <row r="31" spans="1:22" x14ac:dyDescent="0.25">
      <c r="A31" s="1080">
        <v>44925</v>
      </c>
      <c r="B31" s="657" t="str">
        <f t="shared" si="0"/>
        <v>Pá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654"/>
      <c r="P31" s="1026"/>
      <c r="Q31" s="718"/>
      <c r="R31" s="718"/>
      <c r="S31" s="718"/>
      <c r="T31" s="718"/>
      <c r="U31" s="718"/>
      <c r="V31" s="642">
        <f t="shared" si="4"/>
        <v>5</v>
      </c>
    </row>
    <row r="32" spans="1:22" x14ac:dyDescent="0.25">
      <c r="A32" s="1080">
        <v>44926</v>
      </c>
      <c r="B32" s="657" t="str">
        <f t="shared" si="0"/>
        <v>So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718"/>
      <c r="R32" s="718"/>
      <c r="S32" s="718"/>
      <c r="T32" s="718"/>
      <c r="U32" s="718"/>
      <c r="V32" s="642">
        <f t="shared" si="4"/>
        <v>6</v>
      </c>
    </row>
    <row r="33" spans="1:22" x14ac:dyDescent="0.25">
      <c r="A33" s="1080">
        <v>44927</v>
      </c>
      <c r="B33" s="657" t="str">
        <f t="shared" si="0"/>
        <v>Ne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718"/>
      <c r="R33" s="718"/>
      <c r="S33" s="718"/>
      <c r="T33" s="718"/>
      <c r="U33" s="718"/>
      <c r="V33" s="642">
        <f>WEEKDAY(A33,2)</f>
        <v>7</v>
      </c>
    </row>
    <row r="34" spans="1:22" x14ac:dyDescent="0.25">
      <c r="A34" s="1080">
        <v>44928</v>
      </c>
      <c r="B34" s="657" t="str">
        <f t="shared" si="0"/>
        <v>Po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718"/>
      <c r="R34" s="718"/>
      <c r="S34" s="718"/>
      <c r="T34" s="718"/>
      <c r="U34" s="718"/>
      <c r="V34" s="642">
        <f t="shared" ref="V34:V35" si="7">WEEKDAY(A34,2)</f>
        <v>1</v>
      </c>
    </row>
    <row r="35" spans="1:22" ht="15.75" thickBot="1" x14ac:dyDescent="0.3">
      <c r="A35" s="1080">
        <v>44929</v>
      </c>
      <c r="B35" s="658" t="str">
        <f t="shared" si="0"/>
        <v>Út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8"/>
      <c r="L35" s="654"/>
      <c r="M35" s="658"/>
      <c r="N35" s="1087"/>
      <c r="O35" s="655"/>
      <c r="P35" s="1027"/>
      <c r="Q35" s="718"/>
      <c r="R35" s="718"/>
      <c r="S35" s="718"/>
      <c r="T35" s="718"/>
      <c r="U35" s="718"/>
      <c r="V35" s="642">
        <f t="shared" si="7"/>
        <v>2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SUM(C2:C31)</f>
        <v>5.708333333333333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E4BC38-98C1-6D43-B0A3-B019B38F301A}">
  <sheetPr>
    <tabColor theme="3"/>
  </sheetPr>
  <dimension ref="A1:AK63"/>
  <sheetViews>
    <sheetView topLeftCell="N3" zoomScaleNormal="60" zoomScaleSheetLayoutView="100" workbookViewId="0">
      <selection activeCell="T6" sqref="T6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1" customWidth="1"/>
    <col min="4" max="4" width="9.140625" bestFit="1" customWidth="1"/>
    <col min="5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16" bestFit="1" customWidth="1"/>
    <col min="18" max="18" width="10.5703125" bestFit="1" customWidth="1"/>
    <col min="19" max="19" width="14" bestFit="1" customWidth="1"/>
    <col min="20" max="20" width="10.28515625" bestFit="1" customWidth="1"/>
    <col min="21" max="21" width="13.140625" customWidth="1"/>
    <col min="22" max="22" width="12.7109375" bestFit="1" customWidth="1"/>
    <col min="23" max="23" width="15.7109375" customWidth="1"/>
    <col min="24" max="24" width="12" customWidth="1"/>
    <col min="25" max="25" width="16.5703125" customWidth="1"/>
    <col min="26" max="26" width="13.42578125" customWidth="1"/>
    <col min="27" max="27" width="19.1406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855468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504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517</v>
      </c>
      <c r="R2" s="966" t="s">
        <v>441</v>
      </c>
      <c r="S2" s="967" t="s">
        <v>537</v>
      </c>
      <c r="T2" s="966" t="s">
        <v>442</v>
      </c>
      <c r="U2" s="964" t="s">
        <v>546</v>
      </c>
      <c r="V2" s="966" t="s">
        <v>443</v>
      </c>
      <c r="W2" s="964" t="s">
        <v>553</v>
      </c>
      <c r="X2" s="966" t="s">
        <v>444</v>
      </c>
      <c r="Y2" s="964" t="s">
        <v>495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>
        <v>3660</v>
      </c>
      <c r="B3" s="979"/>
      <c r="C3" s="945"/>
      <c r="D3" s="619">
        <v>123.04</v>
      </c>
      <c r="E3" s="979"/>
      <c r="F3" s="952"/>
      <c r="G3" s="975"/>
      <c r="H3" s="952"/>
      <c r="I3" s="619"/>
      <c r="J3" s="978"/>
      <c r="K3" s="952"/>
      <c r="L3" s="959"/>
      <c r="M3" s="981"/>
      <c r="N3" s="952"/>
      <c r="O3" s="984">
        <f>AG43-AK6-AI3</f>
        <v>600</v>
      </c>
      <c r="P3" s="945"/>
      <c r="Q3" s="984"/>
      <c r="R3" s="937"/>
      <c r="S3" s="986">
        <v>100</v>
      </c>
      <c r="T3" s="938">
        <v>44830</v>
      </c>
      <c r="U3" s="990">
        <v>235</v>
      </c>
      <c r="V3" s="937">
        <v>44829</v>
      </c>
      <c r="W3" s="990"/>
      <c r="X3" s="937"/>
      <c r="Y3" s="989"/>
      <c r="Z3" s="937"/>
      <c r="AA3" s="984"/>
      <c r="AB3" s="937"/>
      <c r="AC3" s="1107"/>
      <c r="AD3" s="1106"/>
      <c r="AE3" s="993"/>
      <c r="AF3" s="997" t="s">
        <v>119</v>
      </c>
      <c r="AG3" s="963">
        <f>'05cash22'!AI3</f>
        <v>1410</v>
      </c>
      <c r="AH3" s="299">
        <v>0</v>
      </c>
      <c r="AI3" s="300">
        <v>1140</v>
      </c>
      <c r="AJ3" s="301">
        <f>AH6+AJ6</f>
        <v>6860</v>
      </c>
      <c r="AK3" s="302">
        <f>AK6+AI6</f>
        <v>2104.11</v>
      </c>
    </row>
    <row r="4" spans="1:37" ht="19.5" thickBot="1" x14ac:dyDescent="0.3">
      <c r="A4" s="681">
        <v>3200</v>
      </c>
      <c r="B4" s="979"/>
      <c r="C4" s="946"/>
      <c r="D4" s="618">
        <v>188.31</v>
      </c>
      <c r="E4" s="979"/>
      <c r="F4" s="953"/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/>
      <c r="R4" s="938"/>
      <c r="S4" s="986">
        <v>100</v>
      </c>
      <c r="T4" s="1071">
        <v>44833</v>
      </c>
      <c r="U4" s="1051">
        <v>110</v>
      </c>
      <c r="V4" s="938">
        <v>44830</v>
      </c>
      <c r="W4" s="1051"/>
      <c r="X4" s="938"/>
      <c r="Y4" s="990">
        <v>500</v>
      </c>
      <c r="Z4" s="938">
        <v>44846</v>
      </c>
      <c r="AA4" s="986"/>
      <c r="AB4" s="938"/>
      <c r="AC4" s="1050"/>
      <c r="AD4" s="1071"/>
      <c r="AE4" s="994"/>
      <c r="AF4" s="997">
        <v>44830</v>
      </c>
      <c r="AG4" s="963">
        <v>1000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81"/>
      <c r="B5" s="979"/>
      <c r="C5" s="946"/>
      <c r="D5" s="618">
        <v>122.76</v>
      </c>
      <c r="E5" s="979"/>
      <c r="F5" s="953"/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986"/>
      <c r="R5" s="938"/>
      <c r="S5" s="986">
        <v>50</v>
      </c>
      <c r="T5" s="1071">
        <v>44835</v>
      </c>
      <c r="U5" s="1051">
        <v>50</v>
      </c>
      <c r="V5" s="938">
        <v>44832</v>
      </c>
      <c r="W5" s="1051"/>
      <c r="X5" s="938"/>
      <c r="Y5" s="990"/>
      <c r="Z5" s="938"/>
      <c r="AA5" s="986"/>
      <c r="AB5" s="938"/>
      <c r="AC5" s="1050"/>
      <c r="AD5" s="1071"/>
      <c r="AE5" s="994"/>
      <c r="AF5" s="997">
        <v>44842</v>
      </c>
      <c r="AG5" s="963">
        <v>1000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81"/>
      <c r="B6" s="979"/>
      <c r="C6" s="946"/>
      <c r="D6" s="618"/>
      <c r="E6" s="979"/>
      <c r="F6" s="953"/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986"/>
      <c r="R6" s="938"/>
      <c r="S6" s="986">
        <v>50</v>
      </c>
      <c r="T6" s="1071">
        <v>44837</v>
      </c>
      <c r="U6" s="1051">
        <v>10</v>
      </c>
      <c r="V6" s="938">
        <v>44832</v>
      </c>
      <c r="W6" s="1051"/>
      <c r="X6" s="938"/>
      <c r="Y6" s="990"/>
      <c r="Z6" s="938"/>
      <c r="AA6" s="986"/>
      <c r="AB6" s="938"/>
      <c r="AC6" s="1050"/>
      <c r="AD6" s="1071"/>
      <c r="AE6" s="994"/>
      <c r="AF6" s="997"/>
      <c r="AG6" s="963"/>
      <c r="AH6" s="612">
        <f>A43+L43</f>
        <v>6860</v>
      </c>
      <c r="AI6" s="317">
        <f>D43+H43+K43+N44</f>
        <v>434.11</v>
      </c>
      <c r="AJ6" s="128">
        <f>L44+C43</f>
        <v>0</v>
      </c>
      <c r="AK6" s="129">
        <f>F43+G43+I43+M44+Q43+S43+W43+Y43+AA43+AC43+Y47+Y51+AA47+AA51+AC47+AC51+U48+Y55+AA55</f>
        <v>1670</v>
      </c>
    </row>
    <row r="7" spans="1:37" ht="19.5" thickBot="1" x14ac:dyDescent="0.3">
      <c r="A7" s="681"/>
      <c r="B7" s="979"/>
      <c r="C7" s="946"/>
      <c r="D7" s="618"/>
      <c r="E7" s="979"/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986"/>
      <c r="R7" s="938"/>
      <c r="S7" s="986">
        <v>100</v>
      </c>
      <c r="T7" s="938">
        <v>44838</v>
      </c>
      <c r="U7" s="990">
        <v>20</v>
      </c>
      <c r="V7" s="938">
        <v>44833</v>
      </c>
      <c r="W7" s="990"/>
      <c r="X7" s="938"/>
      <c r="Y7" s="1123">
        <v>2</v>
      </c>
      <c r="Z7" s="1053" t="s">
        <v>47</v>
      </c>
      <c r="AA7" s="1124">
        <v>5</v>
      </c>
      <c r="AB7" s="1056" t="s">
        <v>47</v>
      </c>
      <c r="AC7" s="1050"/>
      <c r="AD7" s="1071"/>
      <c r="AE7" s="994"/>
      <c r="AF7" s="997"/>
      <c r="AG7" s="963"/>
      <c r="AH7" s="613" t="s">
        <v>66</v>
      </c>
      <c r="AI7" s="321" t="s">
        <v>67</v>
      </c>
    </row>
    <row r="8" spans="1:37" x14ac:dyDescent="0.25">
      <c r="A8" s="681"/>
      <c r="B8" s="979"/>
      <c r="C8" s="946"/>
      <c r="D8" s="618"/>
      <c r="E8" s="979"/>
      <c r="F8" s="953"/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986"/>
      <c r="R8" s="938"/>
      <c r="S8" s="986">
        <v>100</v>
      </c>
      <c r="T8" s="938">
        <v>44842</v>
      </c>
      <c r="U8" s="990">
        <v>30</v>
      </c>
      <c r="V8" s="938">
        <v>44833</v>
      </c>
      <c r="W8" s="990"/>
      <c r="X8" s="938"/>
      <c r="Y8" s="990"/>
      <c r="Z8" s="938"/>
      <c r="AA8" s="986"/>
      <c r="AB8" s="938"/>
      <c r="AC8" s="1050"/>
      <c r="AD8" s="1071"/>
      <c r="AE8" s="994"/>
      <c r="AF8" s="997"/>
      <c r="AG8" s="963"/>
      <c r="AH8" s="326">
        <v>0</v>
      </c>
      <c r="AI8" s="327">
        <f>E43</f>
        <v>0</v>
      </c>
    </row>
    <row r="9" spans="1:37" ht="15.75" thickBot="1" x14ac:dyDescent="0.3">
      <c r="A9" s="681"/>
      <c r="B9" s="979"/>
      <c r="C9" s="946"/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/>
      <c r="R9" s="938"/>
      <c r="S9" s="986">
        <v>50</v>
      </c>
      <c r="T9" s="938">
        <v>44847</v>
      </c>
      <c r="U9" s="990">
        <v>50</v>
      </c>
      <c r="V9" s="938"/>
      <c r="W9" s="990"/>
      <c r="X9" s="938"/>
      <c r="Y9" s="990"/>
      <c r="Z9" s="938"/>
      <c r="AA9" s="986"/>
      <c r="AB9" s="938"/>
      <c r="AC9" s="1050"/>
      <c r="AD9" s="1071"/>
      <c r="AE9" s="994"/>
      <c r="AF9" s="997"/>
      <c r="AG9" s="963"/>
      <c r="AH9" s="1244">
        <f>AH8-AI8</f>
        <v>0</v>
      </c>
      <c r="AI9" s="1222"/>
    </row>
    <row r="10" spans="1:37" x14ac:dyDescent="0.25">
      <c r="A10" s="659"/>
      <c r="B10" s="979"/>
      <c r="C10" s="1060"/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/>
      <c r="R10" s="1068"/>
      <c r="S10" s="1069">
        <v>20</v>
      </c>
      <c r="T10" s="1068">
        <v>44849</v>
      </c>
      <c r="U10" s="1051">
        <v>50</v>
      </c>
      <c r="V10" s="1071">
        <v>44838</v>
      </c>
      <c r="W10" s="1051"/>
      <c r="X10" s="1071"/>
      <c r="Y10" s="991"/>
      <c r="Z10" s="938"/>
      <c r="AA10" s="986"/>
      <c r="AB10" s="1071"/>
      <c r="AC10" s="1050"/>
      <c r="AD10" s="1071"/>
      <c r="AE10" s="994"/>
      <c r="AF10" s="1073"/>
      <c r="AG10" s="963"/>
      <c r="AH10" s="610"/>
      <c r="AI10" s="1052"/>
    </row>
    <row r="11" spans="1:37" x14ac:dyDescent="0.25">
      <c r="A11" s="659"/>
      <c r="B11" s="979"/>
      <c r="C11" s="1060"/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62"/>
      <c r="R11" s="1068"/>
      <c r="S11" s="1069"/>
      <c r="T11" s="1068"/>
      <c r="U11" s="1051">
        <v>50</v>
      </c>
      <c r="V11" s="1071">
        <v>44840</v>
      </c>
      <c r="W11" s="1051"/>
      <c r="X11" s="1071"/>
      <c r="Y11" s="991"/>
      <c r="Z11" s="938"/>
      <c r="AA11" s="986"/>
      <c r="AB11" s="1071"/>
      <c r="AC11" s="1050"/>
      <c r="AD11" s="1071"/>
      <c r="AE11" s="994"/>
      <c r="AF11" s="1073"/>
      <c r="AG11" s="963"/>
      <c r="AH11" s="610"/>
      <c r="AI11" s="1052"/>
    </row>
    <row r="12" spans="1:37" x14ac:dyDescent="0.25">
      <c r="A12" s="659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62"/>
      <c r="R12" s="1068"/>
      <c r="S12" s="1069"/>
      <c r="T12" s="1068"/>
      <c r="U12" s="1070">
        <v>100</v>
      </c>
      <c r="V12" s="1068">
        <v>44842</v>
      </c>
      <c r="W12" s="1051"/>
      <c r="X12" s="1071"/>
      <c r="Y12" s="991"/>
      <c r="Z12" s="938"/>
      <c r="AA12" s="986"/>
      <c r="AB12" s="1071"/>
      <c r="AC12" s="1050"/>
      <c r="AD12" s="1071"/>
      <c r="AE12" s="994"/>
      <c r="AF12" s="1073"/>
      <c r="AG12" s="963"/>
      <c r="AH12" s="610"/>
      <c r="AI12" s="1052"/>
    </row>
    <row r="13" spans="1:37" x14ac:dyDescent="0.25">
      <c r="A13" s="659"/>
      <c r="B13" s="979"/>
      <c r="C13" s="1060"/>
      <c r="D13" s="1119"/>
      <c r="E13" s="1120"/>
      <c r="F13" s="112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62"/>
      <c r="R13" s="1068"/>
      <c r="S13" s="1069"/>
      <c r="T13" s="1068"/>
      <c r="U13" s="1070">
        <v>45</v>
      </c>
      <c r="V13" s="1068">
        <v>44845</v>
      </c>
      <c r="W13" s="1051"/>
      <c r="X13" s="1071"/>
      <c r="Y13" s="991"/>
      <c r="Z13" s="938"/>
      <c r="AA13" s="986"/>
      <c r="AB13" s="1071"/>
      <c r="AC13" s="1050"/>
      <c r="AD13" s="1071"/>
      <c r="AE13" s="1072"/>
      <c r="AF13" s="1073"/>
      <c r="AG13" s="963"/>
      <c r="AH13" s="610"/>
      <c r="AI13" s="1052"/>
    </row>
    <row r="14" spans="1:37" x14ac:dyDescent="0.25">
      <c r="A14" s="681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>
        <v>20</v>
      </c>
      <c r="V14" s="938">
        <v>44847</v>
      </c>
      <c r="W14" s="990"/>
      <c r="X14" s="938"/>
      <c r="Y14" s="990"/>
      <c r="Z14" s="938"/>
      <c r="AA14" s="976"/>
      <c r="AB14" s="938"/>
      <c r="AC14" s="1050"/>
      <c r="AD14" s="1071"/>
      <c r="AE14" s="994"/>
      <c r="AF14" s="997"/>
      <c r="AG14" s="963"/>
      <c r="AH14" s="610"/>
    </row>
    <row r="15" spans="1:37" ht="18.75" x14ac:dyDescent="0.25">
      <c r="A15" s="681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986">
        <v>50</v>
      </c>
      <c r="V15" s="938">
        <v>44849</v>
      </c>
      <c r="W15" s="990"/>
      <c r="X15" s="938"/>
      <c r="Y15" s="1123">
        <v>3</v>
      </c>
      <c r="Z15" s="1054" t="s">
        <v>47</v>
      </c>
      <c r="AA15" s="1124">
        <v>6</v>
      </c>
      <c r="AB15" s="1054" t="s">
        <v>47</v>
      </c>
      <c r="AC15" s="1123">
        <v>8</v>
      </c>
      <c r="AD15" s="1054" t="s">
        <v>47</v>
      </c>
      <c r="AE15" s="994"/>
      <c r="AF15" s="997"/>
      <c r="AG15" s="963"/>
      <c r="AH15" s="610"/>
    </row>
    <row r="16" spans="1:37" x14ac:dyDescent="0.25">
      <c r="A16" s="681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963"/>
      <c r="AH16" s="610"/>
    </row>
    <row r="17" spans="1:34" x14ac:dyDescent="0.25">
      <c r="A17" s="659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62"/>
      <c r="R17" s="1068"/>
      <c r="S17" s="1069"/>
      <c r="T17" s="1068"/>
      <c r="U17" s="1070"/>
      <c r="V17" s="1068"/>
      <c r="W17" s="1051"/>
      <c r="X17" s="938"/>
      <c r="Y17" s="990"/>
      <c r="Z17" s="938"/>
      <c r="AA17" s="986"/>
      <c r="AB17" s="1071"/>
      <c r="AC17" s="1051"/>
      <c r="AD17" s="1071"/>
      <c r="AE17" s="1072"/>
      <c r="AF17" s="1073"/>
      <c r="AG17" s="963"/>
      <c r="AH17" s="610"/>
    </row>
    <row r="18" spans="1:34" x14ac:dyDescent="0.25">
      <c r="A18" s="659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62"/>
      <c r="R18" s="1068"/>
      <c r="S18" s="1069"/>
      <c r="T18" s="1068"/>
      <c r="U18" s="1070"/>
      <c r="V18" s="1068"/>
      <c r="W18" s="1051"/>
      <c r="X18" s="938"/>
      <c r="Y18" s="990"/>
      <c r="Z18" s="938"/>
      <c r="AA18" s="986"/>
      <c r="AB18" s="1071"/>
      <c r="AC18" s="1051"/>
      <c r="AD18" s="1071"/>
      <c r="AE18" s="1072"/>
      <c r="AF18" s="1073"/>
      <c r="AG18" s="963"/>
      <c r="AH18" s="610"/>
    </row>
    <row r="19" spans="1:34" x14ac:dyDescent="0.25">
      <c r="A19" s="659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62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1"/>
      <c r="AD19" s="1071"/>
      <c r="AE19" s="1072"/>
      <c r="AF19" s="1073"/>
      <c r="AG19" s="963"/>
      <c r="AH19" s="610"/>
    </row>
    <row r="20" spans="1:34" x14ac:dyDescent="0.25">
      <c r="A20" s="681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0"/>
      <c r="X20" s="938"/>
      <c r="Y20" s="990"/>
      <c r="Z20" s="938"/>
      <c r="AA20" s="986"/>
      <c r="AB20" s="938"/>
      <c r="AC20" s="990"/>
      <c r="AD20" s="938"/>
      <c r="AE20" s="994"/>
      <c r="AF20" s="997"/>
      <c r="AG20" s="963"/>
      <c r="AH20" s="610"/>
    </row>
    <row r="21" spans="1:34" x14ac:dyDescent="0.25">
      <c r="A21" s="681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0"/>
      <c r="X21" s="938"/>
      <c r="Y21" s="990"/>
      <c r="Z21" s="938"/>
      <c r="AA21" s="986"/>
      <c r="AB21" s="938"/>
      <c r="AC21" s="990"/>
      <c r="AD21" s="938"/>
      <c r="AE21" s="994"/>
      <c r="AF21" s="997"/>
      <c r="AG21" s="963"/>
      <c r="AH21" s="610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0"/>
      <c r="AD22" s="938"/>
      <c r="AE22" s="994"/>
      <c r="AF22" s="997"/>
      <c r="AG22" s="963"/>
      <c r="AH22" s="610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86"/>
      <c r="AB23" s="938"/>
      <c r="AC23" s="991"/>
      <c r="AD23" s="938"/>
      <c r="AE23" s="994"/>
      <c r="AF23" s="997"/>
      <c r="AG23" s="963"/>
      <c r="AH23" s="610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63"/>
      <c r="AH24" s="1109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63"/>
      <c r="AH25" s="610"/>
    </row>
    <row r="26" spans="1:34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63"/>
      <c r="AH26" s="610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63"/>
      <c r="AH27" s="614"/>
    </row>
    <row r="28" spans="1:34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9</v>
      </c>
      <c r="Z28" s="1054" t="s">
        <v>47</v>
      </c>
      <c r="AA28" s="1125">
        <v>10</v>
      </c>
      <c r="AB28" s="1054" t="s">
        <v>47</v>
      </c>
      <c r="AC28" s="1125">
        <v>11</v>
      </c>
      <c r="AD28" s="1054" t="s">
        <v>47</v>
      </c>
      <c r="AE28" s="994"/>
      <c r="AF28" s="997"/>
      <c r="AG28" s="963"/>
      <c r="AH28" s="614"/>
    </row>
    <row r="29" spans="1:34" x14ac:dyDescent="0.25">
      <c r="A29" s="681"/>
      <c r="B29" s="979"/>
      <c r="C29" s="946"/>
      <c r="D29" s="618"/>
      <c r="E29" s="979"/>
      <c r="F29" s="953"/>
      <c r="G29" s="976"/>
      <c r="H29" s="953"/>
      <c r="I29" s="618"/>
      <c r="J29" s="979"/>
      <c r="K29" s="953"/>
      <c r="L29" s="960"/>
      <c r="M29" s="982"/>
      <c r="N29" s="953"/>
      <c r="O29" s="976"/>
      <c r="P29" s="946"/>
      <c r="Q29" s="986"/>
      <c r="R29" s="938"/>
      <c r="S29" s="976"/>
      <c r="T29" s="938"/>
      <c r="U29" s="986"/>
      <c r="V29" s="938"/>
      <c r="W29" s="991"/>
      <c r="X29" s="938"/>
      <c r="Y29" s="990"/>
      <c r="Z29" s="938"/>
      <c r="AA29" s="986"/>
      <c r="AB29" s="938"/>
      <c r="AC29" s="990"/>
      <c r="AD29" s="938"/>
      <c r="AE29" s="994"/>
      <c r="AF29" s="997"/>
      <c r="AG29" s="963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0"/>
      <c r="Z30" s="938"/>
      <c r="AA30" s="986"/>
      <c r="AB30" s="938"/>
      <c r="AC30" s="990"/>
      <c r="AD30" s="938"/>
      <c r="AE30" s="994"/>
      <c r="AF30" s="997"/>
      <c r="AG30" s="96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0"/>
      <c r="AD31" s="938"/>
      <c r="AE31" s="994"/>
      <c r="AF31" s="997"/>
      <c r="AG31" s="96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76"/>
      <c r="AB32" s="938"/>
      <c r="AC32" s="991"/>
      <c r="AD32" s="938"/>
      <c r="AE32" s="994"/>
      <c r="AF32" s="997"/>
      <c r="AG32" s="96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86"/>
      <c r="AB35" s="938"/>
      <c r="AC35" s="991"/>
      <c r="AD35" s="938"/>
      <c r="AE35" s="994"/>
      <c r="AF35" s="997"/>
      <c r="AG35" s="96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76"/>
      <c r="AB37" s="938"/>
      <c r="AC37" s="991"/>
      <c r="AD37" s="938"/>
      <c r="AE37" s="994"/>
      <c r="AF37" s="997"/>
      <c r="AG37" s="96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86"/>
      <c r="AB39" s="938"/>
      <c r="AC39" s="991"/>
      <c r="AD39" s="938"/>
      <c r="AE39" s="994"/>
      <c r="AF39" s="997"/>
      <c r="AG39" s="96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4" ht="15.75" thickBot="1" x14ac:dyDescent="0.3">
      <c r="A41" s="682"/>
      <c r="B41" s="1000"/>
      <c r="C41" s="948"/>
      <c r="D41" s="675"/>
      <c r="E41" s="999"/>
      <c r="F41" s="954"/>
      <c r="G41" s="977"/>
      <c r="H41" s="954"/>
      <c r="I41" s="624"/>
      <c r="J41" s="980"/>
      <c r="K41" s="958"/>
      <c r="L41" s="961"/>
      <c r="M41" s="983"/>
      <c r="N41" s="954"/>
      <c r="O41" s="985"/>
      <c r="P41" s="947"/>
      <c r="Q41" s="987"/>
      <c r="R41" s="939"/>
      <c r="S41" s="988"/>
      <c r="T41" s="940"/>
      <c r="U41" s="987"/>
      <c r="V41" s="939"/>
      <c r="W41" s="992"/>
      <c r="X41" s="939"/>
      <c r="Y41" s="992"/>
      <c r="Z41" s="939"/>
      <c r="AA41" s="987"/>
      <c r="AB41" s="939"/>
      <c r="AC41" s="992"/>
      <c r="AD41" s="939"/>
      <c r="AE41" s="995"/>
      <c r="AF41" s="998"/>
      <c r="AG41" s="1108"/>
      <c r="AH41" s="614"/>
    </row>
    <row r="42" spans="1:34" ht="15.75" thickBot="1" x14ac:dyDescent="0.3">
      <c r="A42" s="1285" t="s">
        <v>102</v>
      </c>
      <c r="B42" s="1284"/>
      <c r="C42" s="1277"/>
      <c r="D42" s="669" t="s">
        <v>103</v>
      </c>
      <c r="E42" s="669" t="s">
        <v>61</v>
      </c>
      <c r="F42" s="955" t="s">
        <v>103</v>
      </c>
      <c r="G42" s="1276" t="s">
        <v>103</v>
      </c>
      <c r="H42" s="1277"/>
      <c r="I42" s="1286" t="s">
        <v>102</v>
      </c>
      <c r="J42" s="1287"/>
      <c r="K42" s="1288"/>
      <c r="L42" s="1283" t="s">
        <v>102</v>
      </c>
      <c r="M42" s="1284"/>
      <c r="N42" s="1277"/>
      <c r="O42" s="1286" t="s">
        <v>104</v>
      </c>
      <c r="P42" s="1288"/>
      <c r="Q42" s="1276" t="s">
        <v>104</v>
      </c>
      <c r="R42" s="1277"/>
      <c r="S42" s="1276" t="s">
        <v>104</v>
      </c>
      <c r="T42" s="1277"/>
      <c r="U42" s="1276" t="s">
        <v>104</v>
      </c>
      <c r="V42" s="1277"/>
      <c r="W42" s="1276" t="s">
        <v>104</v>
      </c>
      <c r="X42" s="1277"/>
      <c r="Y42" s="1276" t="s">
        <v>104</v>
      </c>
      <c r="Z42" s="1277"/>
      <c r="AA42" s="1276" t="s">
        <v>102</v>
      </c>
      <c r="AB42" s="1277"/>
      <c r="AC42" s="1276" t="s">
        <v>102</v>
      </c>
      <c r="AD42" s="1277"/>
      <c r="AE42" s="1283" t="s">
        <v>102</v>
      </c>
      <c r="AF42" s="1284"/>
      <c r="AG42" s="1277"/>
      <c r="AH42" s="614"/>
    </row>
    <row r="43" spans="1:34" x14ac:dyDescent="0.25">
      <c r="A43" s="872">
        <f>SUM(A3:A41)</f>
        <v>6860</v>
      </c>
      <c r="B43" s="626"/>
      <c r="C43" s="949">
        <f>SUM(C3:C41)</f>
        <v>0</v>
      </c>
      <c r="D43" s="950">
        <f>SUM(D3:D41)</f>
        <v>434.11</v>
      </c>
      <c r="E43" s="629">
        <v>0</v>
      </c>
      <c r="F43" s="956">
        <f>SUM(F3:F41)</f>
        <v>0</v>
      </c>
      <c r="G43" s="936">
        <f>SUM(G3:G41)</f>
        <v>0</v>
      </c>
      <c r="H43" s="957">
        <f>SUM(H3:H41)</f>
        <v>0</v>
      </c>
      <c r="I43" s="936">
        <f>SUM(I3:I41)</f>
        <v>0</v>
      </c>
      <c r="J43" s="629"/>
      <c r="K43" s="957">
        <f>SUM(K3:K41)</f>
        <v>0</v>
      </c>
      <c r="L43" s="962">
        <f>SUM(L3:L41)</f>
        <v>0</v>
      </c>
      <c r="M43" s="873" t="s">
        <v>49</v>
      </c>
      <c r="N43" s="956" t="s">
        <v>46</v>
      </c>
      <c r="O43" s="1045">
        <f>O3+O5</f>
        <v>600</v>
      </c>
      <c r="P43" s="1078" t="s">
        <v>395</v>
      </c>
      <c r="Q43" s="1045">
        <f>SUM(Q3:Q41)</f>
        <v>0</v>
      </c>
      <c r="R43" s="1078" t="str">
        <f>Q2</f>
        <v>Pavel Zoula</v>
      </c>
      <c r="S43" s="1045">
        <f>SUM(S3:S41)</f>
        <v>570</v>
      </c>
      <c r="T43" s="1105" t="str">
        <f>S2</f>
        <v>Karel Havel</v>
      </c>
      <c r="U43" s="1045">
        <f>SUM(U3:U41)</f>
        <v>820</v>
      </c>
      <c r="V43" s="1078" t="str">
        <f>U2</f>
        <v>Ondřej Klimeš</v>
      </c>
      <c r="W43" s="1045">
        <f>SUM(W3:W41)</f>
        <v>0</v>
      </c>
      <c r="X43" s="1078" t="str">
        <f>W2</f>
        <v>0</v>
      </c>
      <c r="Y43" s="1045">
        <f>SUM(Y3:Y6)</f>
        <v>500</v>
      </c>
      <c r="Z43" s="1078" t="str">
        <f>Y2</f>
        <v>Erik Maloň</v>
      </c>
      <c r="AA43" s="1045">
        <f>SUM(AA3:AA4)</f>
        <v>0</v>
      </c>
      <c r="AB43" s="1078" t="str">
        <f>AA2</f>
        <v>4</v>
      </c>
      <c r="AC43" s="1045">
        <f>SUM(AC3:AC14)</f>
        <v>0</v>
      </c>
      <c r="AD43" s="1078" t="str">
        <f>AC2</f>
        <v>7</v>
      </c>
      <c r="AE43" s="962">
        <f>SUM(AE3:AE41)</f>
        <v>0</v>
      </c>
      <c r="AF43" s="629"/>
      <c r="AG43" s="957">
        <f>SUM(AG3:AG41)</f>
        <v>3410</v>
      </c>
      <c r="AH43" s="614"/>
    </row>
    <row r="44" spans="1:34" x14ac:dyDescent="0.25">
      <c r="A44" s="634"/>
      <c r="B44" s="635"/>
      <c r="C44" s="935"/>
      <c r="D44" s="951"/>
      <c r="E44" s="635"/>
      <c r="F44" s="935"/>
      <c r="G44" s="951"/>
      <c r="H44" s="935"/>
      <c r="I44" s="951"/>
      <c r="J44" s="635"/>
      <c r="K44" s="935"/>
      <c r="L44" s="951"/>
      <c r="M44" s="1058">
        <f>N3+N4+N5</f>
        <v>0</v>
      </c>
      <c r="N44" s="1059">
        <f>N38+N39+N40</f>
        <v>0</v>
      </c>
      <c r="O44" s="1023">
        <v>100</v>
      </c>
      <c r="P44" s="935" t="s">
        <v>548</v>
      </c>
      <c r="Q44" s="1023"/>
      <c r="R44" s="935" t="str">
        <f>P44</f>
        <v>Září</v>
      </c>
      <c r="S44" s="1023">
        <v>100</v>
      </c>
      <c r="T44" s="935" t="str">
        <f>R44</f>
        <v>Září</v>
      </c>
      <c r="U44" s="1023">
        <v>100</v>
      </c>
      <c r="V44" s="935" t="str">
        <f>T44</f>
        <v>Září</v>
      </c>
      <c r="W44" s="1024"/>
      <c r="X44" s="935" t="s">
        <v>416</v>
      </c>
      <c r="Y44" s="1024"/>
      <c r="Z44" s="935" t="s">
        <v>554</v>
      </c>
      <c r="AA44" s="1024"/>
      <c r="AB44" s="935" t="s">
        <v>416</v>
      </c>
      <c r="AC44" s="1024"/>
      <c r="AD44" s="935" t="s">
        <v>416</v>
      </c>
      <c r="AE44" s="951"/>
      <c r="AF44" s="635"/>
      <c r="AG44" s="935"/>
      <c r="AH44" s="614"/>
    </row>
    <row r="45" spans="1:34" ht="15.75" thickBot="1" x14ac:dyDescent="0.3">
      <c r="A45" s="969"/>
      <c r="B45" s="970"/>
      <c r="C45" s="971"/>
      <c r="D45" s="972"/>
      <c r="E45" s="970"/>
      <c r="F45" s="971"/>
      <c r="G45" s="972"/>
      <c r="H45" s="971"/>
      <c r="I45" s="972"/>
      <c r="J45" s="970"/>
      <c r="K45" s="971"/>
      <c r="L45" s="972"/>
      <c r="M45" s="970"/>
      <c r="N45" s="971"/>
      <c r="O45" s="1118">
        <f>O43-O44</f>
        <v>500</v>
      </c>
      <c r="P45" s="971" t="s">
        <v>554</v>
      </c>
      <c r="Q45" s="1118"/>
      <c r="R45" s="971" t="str">
        <f>P45</f>
        <v>Říjen</v>
      </c>
      <c r="S45" s="973">
        <f>S43-S44</f>
        <v>470</v>
      </c>
      <c r="T45" s="971" t="str">
        <f>R45</f>
        <v>Říjen</v>
      </c>
      <c r="U45" s="973">
        <v>500</v>
      </c>
      <c r="V45" s="971" t="str">
        <f>T45</f>
        <v>Říjen</v>
      </c>
      <c r="W45" s="1110"/>
      <c r="X45" s="971" t="s">
        <v>541</v>
      </c>
      <c r="Y45" s="1110"/>
      <c r="Z45" s="971" t="s">
        <v>437</v>
      </c>
      <c r="AA45" s="1110"/>
      <c r="AB45" s="971" t="s">
        <v>541</v>
      </c>
      <c r="AC45" s="1022"/>
      <c r="AD45" s="971" t="s">
        <v>541</v>
      </c>
      <c r="AE45" s="972"/>
      <c r="AF45" s="970"/>
      <c r="AG45" s="971"/>
      <c r="AH45" s="614"/>
    </row>
    <row r="46" spans="1:34" ht="16.5" thickTop="1" thickBot="1" x14ac:dyDescent="0.3">
      <c r="A46" s="1111"/>
      <c r="B46" s="1111"/>
      <c r="C46" s="1111"/>
      <c r="D46" s="1111"/>
      <c r="E46" s="1111"/>
      <c r="F46" s="1111"/>
      <c r="G46" s="1111"/>
      <c r="H46" s="1111"/>
      <c r="I46" s="1111"/>
      <c r="J46" s="1111"/>
      <c r="K46" s="1111"/>
      <c r="L46" s="1111"/>
      <c r="M46" s="1111"/>
      <c r="N46" s="1111"/>
      <c r="O46" s="1112">
        <f>O43-O44-O45</f>
        <v>0</v>
      </c>
      <c r="P46" s="1111" t="s">
        <v>437</v>
      </c>
      <c r="Q46" s="1023">
        <f>Q43-Q44-Q45</f>
        <v>0</v>
      </c>
      <c r="R46" s="935" t="str">
        <f>P46</f>
        <v>Listopad</v>
      </c>
      <c r="S46" s="1117">
        <f>S43-S44-S45</f>
        <v>0</v>
      </c>
      <c r="T46" s="935" t="str">
        <f>R46</f>
        <v>Listopad</v>
      </c>
      <c r="U46" s="1023"/>
      <c r="V46" s="935" t="str">
        <f>T46</f>
        <v>Listopad</v>
      </c>
      <c r="W46" s="886">
        <f>W43-W44-W45</f>
        <v>0</v>
      </c>
      <c r="X46" s="935" t="s">
        <v>548</v>
      </c>
      <c r="Y46" s="1114"/>
      <c r="Z46" s="1113" t="s">
        <v>555</v>
      </c>
      <c r="AA46" s="1114"/>
      <c r="AB46" s="1113" t="s">
        <v>548</v>
      </c>
      <c r="AC46" s="1115"/>
      <c r="AD46" s="1113" t="s">
        <v>548</v>
      </c>
      <c r="AE46" s="1111"/>
      <c r="AF46" s="1111"/>
      <c r="AG46" s="1111"/>
      <c r="AH46" s="614"/>
    </row>
    <row r="47" spans="1:34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610"/>
      <c r="P47" s="610"/>
      <c r="U47">
        <v>220</v>
      </c>
      <c r="Y47" s="1074">
        <f>SUM(Y16:Y27)</f>
        <v>0</v>
      </c>
      <c r="Z47" s="1078">
        <f>Y15</f>
        <v>3</v>
      </c>
      <c r="AA47" s="1045">
        <f>SUM(AA16:AA27)</f>
        <v>0</v>
      </c>
      <c r="AB47" s="1078">
        <f>AA15</f>
        <v>6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4" x14ac:dyDescent="0.25">
      <c r="Q48" s="1033"/>
      <c r="R48" s="1034"/>
      <c r="S48" s="1035"/>
      <c r="U48">
        <v>600</v>
      </c>
      <c r="X48" s="610"/>
      <c r="Y48" s="1076"/>
      <c r="Z48" s="935" t="s">
        <v>416</v>
      </c>
      <c r="AA48" s="1024">
        <v>0</v>
      </c>
      <c r="AB48" s="935" t="s">
        <v>416</v>
      </c>
      <c r="AC48" s="1024"/>
      <c r="AD48" s="935" t="s">
        <v>416</v>
      </c>
    </row>
    <row r="49" spans="17:31" ht="15.75" thickBot="1" x14ac:dyDescent="0.3">
      <c r="Q49" s="1033"/>
      <c r="R49" s="1034"/>
      <c r="S49" s="1035"/>
      <c r="X49" s="610"/>
      <c r="Y49" s="1077"/>
      <c r="Z49" s="971" t="s">
        <v>541</v>
      </c>
      <c r="AA49" s="974"/>
      <c r="AB49" s="971" t="s">
        <v>541</v>
      </c>
      <c r="AC49" s="1110"/>
      <c r="AD49" s="971" t="s">
        <v>541</v>
      </c>
    </row>
    <row r="50" spans="17:31" ht="16.5" thickTop="1" thickBot="1" x14ac:dyDescent="0.3">
      <c r="Q50" s="1033"/>
      <c r="R50" s="1034"/>
      <c r="S50" s="1035"/>
      <c r="X50" s="610"/>
      <c r="Y50" s="1023">
        <f>Y47-Y48-Y49</f>
        <v>0</v>
      </c>
      <c r="Z50" s="935" t="s">
        <v>548</v>
      </c>
      <c r="AA50" s="886">
        <f>AA47-AA48-AA49</f>
        <v>0</v>
      </c>
      <c r="AB50" s="935" t="s">
        <v>548</v>
      </c>
      <c r="AC50" s="1114">
        <f>AC47-AC48-AC49</f>
        <v>0</v>
      </c>
      <c r="AD50" s="1116" t="s">
        <v>548</v>
      </c>
    </row>
    <row r="51" spans="17:31" x14ac:dyDescent="0.25">
      <c r="Q51" s="1033"/>
      <c r="R51" s="1034"/>
      <c r="S51" s="1035"/>
      <c r="X51" s="610"/>
      <c r="Y51" s="1074">
        <f>SUM(Y29:Y41)</f>
        <v>0</v>
      </c>
      <c r="Z51" s="1078">
        <f>Y28</f>
        <v>9</v>
      </c>
      <c r="AA51" s="1045">
        <f>SUM(AA29:AA41)</f>
        <v>0</v>
      </c>
      <c r="AB51" s="1078">
        <f>AA28</f>
        <v>10</v>
      </c>
      <c r="AC51" s="1045">
        <f>SUM(AC29:AC41)</f>
        <v>0</v>
      </c>
      <c r="AD51" s="1126">
        <f>AC28</f>
        <v>11</v>
      </c>
      <c r="AE51" s="610"/>
    </row>
    <row r="52" spans="17:31" x14ac:dyDescent="0.25">
      <c r="Q52" s="1033"/>
      <c r="R52" s="1033"/>
      <c r="S52" s="1035"/>
      <c r="X52" s="610"/>
      <c r="Y52" s="1076">
        <v>0</v>
      </c>
      <c r="Z52" s="935" t="s">
        <v>416</v>
      </c>
      <c r="AA52" s="1024">
        <v>0</v>
      </c>
      <c r="AB52" s="935" t="s">
        <v>416</v>
      </c>
      <c r="AC52" s="1024">
        <v>0</v>
      </c>
      <c r="AD52" s="935" t="s">
        <v>416</v>
      </c>
    </row>
    <row r="53" spans="17:31" ht="15.75" thickBot="1" x14ac:dyDescent="0.3">
      <c r="Q53" s="1036"/>
      <c r="R53" s="1034"/>
      <c r="S53" s="1035"/>
      <c r="X53" s="610"/>
      <c r="Y53" s="1122">
        <f>Y51-Y52</f>
        <v>0</v>
      </c>
      <c r="Z53" s="971" t="s">
        <v>541</v>
      </c>
      <c r="AA53" s="1110">
        <f>AA51-AA52</f>
        <v>0</v>
      </c>
      <c r="AB53" s="971" t="s">
        <v>541</v>
      </c>
      <c r="AC53" s="974">
        <f>AC51-AC52</f>
        <v>0</v>
      </c>
      <c r="AD53" s="971" t="s">
        <v>541</v>
      </c>
    </row>
    <row r="54" spans="17:31" ht="16.5" thickTop="1" thickBot="1" x14ac:dyDescent="0.3">
      <c r="Q54" s="1036"/>
      <c r="R54" s="1034"/>
      <c r="S54" s="1035"/>
      <c r="X54" s="610"/>
      <c r="Y54" s="1023">
        <f>Y51-Y52-Y53</f>
        <v>0</v>
      </c>
      <c r="Z54" s="935" t="s">
        <v>548</v>
      </c>
      <c r="AA54" s="886">
        <f>AA51-AA52-AA53</f>
        <v>0</v>
      </c>
      <c r="AB54" s="935" t="s">
        <v>548</v>
      </c>
      <c r="AC54" s="1114"/>
      <c r="AD54" s="1111" t="s">
        <v>548</v>
      </c>
    </row>
    <row r="55" spans="17:31" x14ac:dyDescent="0.25">
      <c r="Q55" s="1035"/>
      <c r="R55" s="1035"/>
      <c r="S55" s="1035"/>
      <c r="Y55" s="1074">
        <f>SUM(Y8:Y14)</f>
        <v>0</v>
      </c>
      <c r="Z55" s="1078">
        <f>Y7</f>
        <v>2</v>
      </c>
      <c r="AA55" s="1045">
        <f>SUM(AA8:AA14)</f>
        <v>0</v>
      </c>
      <c r="AB55" s="1078">
        <f>AA7</f>
        <v>5</v>
      </c>
    </row>
    <row r="56" spans="17:31" x14ac:dyDescent="0.25">
      <c r="Q56" s="1035"/>
      <c r="R56" s="1037"/>
      <c r="S56" s="1035"/>
      <c r="Y56" s="1076">
        <v>0</v>
      </c>
      <c r="Z56" s="935" t="s">
        <v>416</v>
      </c>
      <c r="AA56" s="1024">
        <v>0</v>
      </c>
      <c r="AB56" s="935" t="s">
        <v>416</v>
      </c>
    </row>
    <row r="57" spans="17:31" ht="15.75" thickBot="1" x14ac:dyDescent="0.3">
      <c r="Q57" s="1035"/>
      <c r="R57" s="1037"/>
      <c r="S57" s="1035"/>
      <c r="Y57" s="1077">
        <f>Y55-Y56</f>
        <v>0</v>
      </c>
      <c r="Z57" s="971" t="s">
        <v>541</v>
      </c>
      <c r="AA57" s="1110"/>
      <c r="AB57" s="971" t="s">
        <v>541</v>
      </c>
    </row>
    <row r="58" spans="17:31" ht="15.75" thickTop="1" x14ac:dyDescent="0.25">
      <c r="Q58" s="1035"/>
      <c r="R58" s="1035"/>
      <c r="S58" s="1035"/>
      <c r="Y58" s="1023">
        <f>Y55-Y56-Y57</f>
        <v>0</v>
      </c>
      <c r="Z58" s="935" t="s">
        <v>548</v>
      </c>
      <c r="AA58" s="886">
        <f>AA55-AA56-AA57</f>
        <v>0</v>
      </c>
      <c r="AB58" s="935" t="s">
        <v>548</v>
      </c>
    </row>
    <row r="59" spans="17:31" x14ac:dyDescent="0.25">
      <c r="Q59" s="1035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Q61" s="1038"/>
      <c r="R61" s="1035"/>
      <c r="S61" s="1035"/>
    </row>
    <row r="62" spans="17:31" x14ac:dyDescent="0.25">
      <c r="Q62" s="1035"/>
      <c r="R62" s="1035"/>
      <c r="S62" s="1035"/>
    </row>
    <row r="63" spans="17:31" x14ac:dyDescent="0.25">
      <c r="R63" s="827"/>
    </row>
  </sheetData>
  <mergeCells count="25">
    <mergeCell ref="A42:C42"/>
    <mergeCell ref="G42:H42"/>
    <mergeCell ref="I42:K42"/>
    <mergeCell ref="L42:N42"/>
    <mergeCell ref="O42:P42"/>
    <mergeCell ref="Q42:R42"/>
    <mergeCell ref="AE1:AG1"/>
    <mergeCell ref="AH1:AI1"/>
    <mergeCell ref="AJ1:AK1"/>
    <mergeCell ref="AH4:AI4"/>
    <mergeCell ref="AJ4:AK4"/>
    <mergeCell ref="AH9:AI9"/>
    <mergeCell ref="Q1:AD1"/>
    <mergeCell ref="AE42:AG42"/>
    <mergeCell ref="S42:T42"/>
    <mergeCell ref="U42:V42"/>
    <mergeCell ref="W42:X42"/>
    <mergeCell ref="Y42:Z42"/>
    <mergeCell ref="AA42:AB42"/>
    <mergeCell ref="AC42:AD42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FC293B-2B09-C848-974C-FFF3326AE96A}">
  <sheetPr>
    <tabColor theme="3"/>
  </sheetPr>
  <dimension ref="A1:AK63"/>
  <sheetViews>
    <sheetView topLeftCell="AC5" zoomScaleNormal="60" zoomScaleSheetLayoutView="100" workbookViewId="0">
      <selection activeCell="AD22" sqref="AD22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16" bestFit="1" customWidth="1"/>
    <col min="18" max="18" width="10.5703125" bestFit="1" customWidth="1"/>
    <col min="19" max="19" width="14" bestFit="1" customWidth="1"/>
    <col min="20" max="20" width="10.28515625" bestFit="1" customWidth="1"/>
    <col min="21" max="21" width="13.140625" customWidth="1"/>
    <col min="22" max="22" width="10.28515625" bestFit="1" customWidth="1"/>
    <col min="23" max="23" width="15.7109375" customWidth="1"/>
    <col min="24" max="24" width="12" customWidth="1"/>
    <col min="25" max="25" width="16.5703125" customWidth="1"/>
    <col min="26" max="26" width="13.42578125" customWidth="1"/>
    <col min="27" max="27" width="19.1406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855468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504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536</v>
      </c>
      <c r="R2" s="966" t="s">
        <v>441</v>
      </c>
      <c r="S2" s="967" t="s">
        <v>517</v>
      </c>
      <c r="T2" s="966" t="s">
        <v>442</v>
      </c>
      <c r="U2" s="964" t="s">
        <v>535</v>
      </c>
      <c r="V2" s="966" t="s">
        <v>443</v>
      </c>
      <c r="W2" s="964" t="s">
        <v>546</v>
      </c>
      <c r="X2" s="966" t="s">
        <v>444</v>
      </c>
      <c r="Y2" s="964" t="s">
        <v>304</v>
      </c>
      <c r="Z2" s="966" t="s">
        <v>445</v>
      </c>
      <c r="AA2" s="964" t="s">
        <v>547</v>
      </c>
      <c r="AB2" s="966" t="s">
        <v>446</v>
      </c>
      <c r="AC2" s="964" t="s">
        <v>519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/>
      <c r="B3" s="979">
        <v>44750</v>
      </c>
      <c r="C3" s="945">
        <v>2000</v>
      </c>
      <c r="D3" s="619">
        <v>149.99</v>
      </c>
      <c r="E3" s="979">
        <v>44753</v>
      </c>
      <c r="F3" s="952"/>
      <c r="G3" s="975"/>
      <c r="H3" s="952"/>
      <c r="I3" s="619"/>
      <c r="J3" s="978"/>
      <c r="K3" s="952"/>
      <c r="L3" s="959"/>
      <c r="M3" s="981" t="s">
        <v>550</v>
      </c>
      <c r="N3" s="952">
        <v>14.99</v>
      </c>
      <c r="O3" s="984">
        <f>AG43-AK6-AI3</f>
        <v>1731.4400000000005</v>
      </c>
      <c r="P3" s="945"/>
      <c r="Q3" s="984">
        <v>100</v>
      </c>
      <c r="R3" s="937">
        <v>44755</v>
      </c>
      <c r="S3" s="984">
        <v>50</v>
      </c>
      <c r="T3" s="937">
        <v>44755</v>
      </c>
      <c r="U3" s="984">
        <v>70</v>
      </c>
      <c r="V3" s="937">
        <v>44760</v>
      </c>
      <c r="W3" s="990">
        <v>20</v>
      </c>
      <c r="X3" s="937"/>
      <c r="Y3" s="989">
        <v>700</v>
      </c>
      <c r="Z3" s="937">
        <v>44762</v>
      </c>
      <c r="AA3" s="984">
        <v>100</v>
      </c>
      <c r="AB3" s="937">
        <v>44760</v>
      </c>
      <c r="AC3" s="1107">
        <v>70</v>
      </c>
      <c r="AD3" s="1106"/>
      <c r="AE3" s="993"/>
      <c r="AF3" s="997" t="s">
        <v>119</v>
      </c>
      <c r="AG3" s="963">
        <f>'04cash22'!AI3</f>
        <v>150</v>
      </c>
      <c r="AH3" s="299">
        <v>0</v>
      </c>
      <c r="AI3" s="300">
        <v>1410</v>
      </c>
      <c r="AJ3" s="301">
        <f>AH6+AJ6</f>
        <v>20250.91</v>
      </c>
      <c r="AK3" s="302">
        <f>AK6+AI6</f>
        <v>9971.4</v>
      </c>
    </row>
    <row r="4" spans="1:37" ht="19.5" thickBot="1" x14ac:dyDescent="0.3">
      <c r="A4" s="681">
        <v>3570.4</v>
      </c>
      <c r="B4" s="979">
        <v>44753</v>
      </c>
      <c r="C4" s="946"/>
      <c r="D4" s="618">
        <v>151.12</v>
      </c>
      <c r="E4" s="979">
        <v>44761</v>
      </c>
      <c r="F4" s="953"/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>
        <v>100</v>
      </c>
      <c r="R4" s="938">
        <v>44760</v>
      </c>
      <c r="S4" s="986">
        <v>50</v>
      </c>
      <c r="T4" s="938">
        <v>44789</v>
      </c>
      <c r="U4" s="986">
        <v>70</v>
      </c>
      <c r="V4" s="938">
        <v>44767</v>
      </c>
      <c r="W4" s="1051">
        <v>100</v>
      </c>
      <c r="X4" s="938"/>
      <c r="Y4" s="990">
        <v>1000</v>
      </c>
      <c r="Z4" s="938">
        <v>44767</v>
      </c>
      <c r="AA4" s="986">
        <v>100</v>
      </c>
      <c r="AB4" s="938">
        <v>44763</v>
      </c>
      <c r="AC4" s="1050"/>
      <c r="AD4" s="1071"/>
      <c r="AE4" s="994"/>
      <c r="AF4" s="997">
        <v>44755</v>
      </c>
      <c r="AG4" s="963">
        <v>1000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81">
        <v>4003</v>
      </c>
      <c r="B5" s="979">
        <v>44759</v>
      </c>
      <c r="C5" s="946"/>
      <c r="D5" s="618">
        <v>138.68</v>
      </c>
      <c r="E5" s="979">
        <v>44769</v>
      </c>
      <c r="F5" s="953"/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986">
        <v>150</v>
      </c>
      <c r="R5" s="938">
        <v>44764</v>
      </c>
      <c r="S5" s="986">
        <v>100</v>
      </c>
      <c r="T5" s="938">
        <v>44807</v>
      </c>
      <c r="U5" s="986">
        <v>100</v>
      </c>
      <c r="V5" s="938">
        <v>44771</v>
      </c>
      <c r="W5" s="1051">
        <v>100</v>
      </c>
      <c r="X5" s="938">
        <v>44771</v>
      </c>
      <c r="Y5" s="990"/>
      <c r="Z5" s="938"/>
      <c r="AA5" s="986"/>
      <c r="AB5" s="938"/>
      <c r="AC5" s="1050"/>
      <c r="AD5" s="1071"/>
      <c r="AE5" s="994"/>
      <c r="AF5" s="997">
        <v>44761</v>
      </c>
      <c r="AG5" s="963">
        <v>1000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81">
        <v>2004.9</v>
      </c>
      <c r="B6" s="979">
        <v>44793</v>
      </c>
      <c r="C6" s="946"/>
      <c r="D6" s="618"/>
      <c r="E6" s="979">
        <v>44772</v>
      </c>
      <c r="F6" s="953">
        <v>100.01</v>
      </c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986">
        <v>100</v>
      </c>
      <c r="R6" s="938">
        <v>44771</v>
      </c>
      <c r="S6" s="986">
        <v>25</v>
      </c>
      <c r="T6" s="938">
        <v>44819</v>
      </c>
      <c r="U6" s="986">
        <v>60</v>
      </c>
      <c r="V6" s="938">
        <v>44781</v>
      </c>
      <c r="W6" s="1051">
        <v>100</v>
      </c>
      <c r="X6" s="938">
        <v>44774</v>
      </c>
      <c r="Y6" s="990"/>
      <c r="Z6" s="938"/>
      <c r="AA6" s="986"/>
      <c r="AB6" s="938"/>
      <c r="AC6" s="1050"/>
      <c r="AD6" s="1071"/>
      <c r="AE6" s="994"/>
      <c r="AF6" s="997">
        <v>44761</v>
      </c>
      <c r="AG6" s="963">
        <v>1000</v>
      </c>
      <c r="AH6" s="612">
        <f>A43+L43</f>
        <v>16449.91</v>
      </c>
      <c r="AI6" s="317">
        <f>D43+H43+K43+N44</f>
        <v>1362.8400000000001</v>
      </c>
      <c r="AJ6" s="128">
        <f>L44+C43</f>
        <v>3801</v>
      </c>
      <c r="AK6" s="129">
        <f>F43+G43+I43+M44+Q43+S43+W43+Y43+AA43+AC43+Y47+Y51+AA47+AA51+AC47+AC51+U43+Y55+AA55</f>
        <v>8608.56</v>
      </c>
    </row>
    <row r="7" spans="1:37" ht="19.5" thickBot="1" x14ac:dyDescent="0.3">
      <c r="A7" s="681"/>
      <c r="B7" s="979">
        <v>44796</v>
      </c>
      <c r="C7" s="946">
        <v>1801</v>
      </c>
      <c r="D7" s="618">
        <v>167.88</v>
      </c>
      <c r="E7" s="979">
        <v>44773</v>
      </c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986">
        <v>100</v>
      </c>
      <c r="R7" s="938">
        <v>44777</v>
      </c>
      <c r="S7" s="986"/>
      <c r="T7" s="938"/>
      <c r="U7" s="986">
        <v>70</v>
      </c>
      <c r="V7" s="938">
        <v>44788</v>
      </c>
      <c r="W7" s="990">
        <v>20</v>
      </c>
      <c r="X7" s="938">
        <v>44781</v>
      </c>
      <c r="Y7" s="1053" t="s">
        <v>543</v>
      </c>
      <c r="Z7" s="1053" t="s">
        <v>47</v>
      </c>
      <c r="AA7" s="1056" t="s">
        <v>544</v>
      </c>
      <c r="AB7" s="1056" t="s">
        <v>47</v>
      </c>
      <c r="AC7" s="1050"/>
      <c r="AD7" s="1071"/>
      <c r="AE7" s="994"/>
      <c r="AF7" s="997">
        <v>44767</v>
      </c>
      <c r="AG7" s="963">
        <v>1000</v>
      </c>
      <c r="AH7" s="613" t="s">
        <v>66</v>
      </c>
      <c r="AI7" s="321" t="s">
        <v>67</v>
      </c>
    </row>
    <row r="8" spans="1:37" x14ac:dyDescent="0.25">
      <c r="A8" s="681">
        <v>3570.03</v>
      </c>
      <c r="B8" s="979">
        <v>44803</v>
      </c>
      <c r="C8" s="946"/>
      <c r="D8" s="618"/>
      <c r="E8" s="979">
        <v>44777</v>
      </c>
      <c r="F8" s="953">
        <v>193.43</v>
      </c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986">
        <v>100</v>
      </c>
      <c r="R8" s="938">
        <v>44784</v>
      </c>
      <c r="S8" s="976"/>
      <c r="T8" s="938"/>
      <c r="U8" s="986">
        <v>150</v>
      </c>
      <c r="V8" s="938">
        <v>44792</v>
      </c>
      <c r="W8" s="990">
        <v>100</v>
      </c>
      <c r="X8" s="938">
        <v>44781</v>
      </c>
      <c r="Y8" s="990">
        <v>100</v>
      </c>
      <c r="Z8" s="938">
        <v>44789</v>
      </c>
      <c r="AA8" s="986">
        <v>100</v>
      </c>
      <c r="AB8" s="938">
        <v>44789</v>
      </c>
      <c r="AC8" s="1050"/>
      <c r="AD8" s="1071"/>
      <c r="AE8" s="994"/>
      <c r="AF8" s="997">
        <v>44774</v>
      </c>
      <c r="AG8" s="963">
        <v>1000</v>
      </c>
      <c r="AH8" s="326">
        <v>0</v>
      </c>
      <c r="AI8" s="327">
        <f>E43</f>
        <v>0</v>
      </c>
    </row>
    <row r="9" spans="1:37" ht="15.75" thickBot="1" x14ac:dyDescent="0.3">
      <c r="A9" s="681">
        <v>1501.5</v>
      </c>
      <c r="B9" s="979">
        <v>44805</v>
      </c>
      <c r="C9" s="946"/>
      <c r="D9" s="618">
        <v>142.27000000000001</v>
      </c>
      <c r="E9" s="979">
        <v>44782</v>
      </c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>
        <v>100</v>
      </c>
      <c r="R9" s="938">
        <v>44790</v>
      </c>
      <c r="S9" s="976"/>
      <c r="T9" s="938"/>
      <c r="U9" s="986"/>
      <c r="V9" s="938"/>
      <c r="W9" s="990">
        <v>40</v>
      </c>
      <c r="X9" s="938">
        <v>44784</v>
      </c>
      <c r="Y9" s="990">
        <v>100</v>
      </c>
      <c r="Z9" s="938">
        <v>44792</v>
      </c>
      <c r="AA9" s="986">
        <v>100</v>
      </c>
      <c r="AB9" s="938">
        <v>44811</v>
      </c>
      <c r="AC9" s="1050"/>
      <c r="AD9" s="1071"/>
      <c r="AE9" s="994"/>
      <c r="AF9" s="997">
        <v>44781</v>
      </c>
      <c r="AG9" s="963">
        <v>1000</v>
      </c>
      <c r="AH9" s="1244">
        <f>AH8-AI8</f>
        <v>0</v>
      </c>
      <c r="AI9" s="1222"/>
    </row>
    <row r="10" spans="1:37" x14ac:dyDescent="0.25">
      <c r="A10" s="659">
        <v>1800.08</v>
      </c>
      <c r="B10" s="979">
        <v>44806</v>
      </c>
      <c r="C10" s="1060"/>
      <c r="D10" s="663">
        <v>145.51</v>
      </c>
      <c r="E10" s="979">
        <v>44790</v>
      </c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>
        <v>100</v>
      </c>
      <c r="R10" s="1068">
        <v>44792</v>
      </c>
      <c r="S10" s="1069"/>
      <c r="T10" s="1068"/>
      <c r="U10" s="1070"/>
      <c r="V10" s="1068"/>
      <c r="W10" s="1051">
        <v>100</v>
      </c>
      <c r="X10" s="1071">
        <v>44786</v>
      </c>
      <c r="Y10" s="991"/>
      <c r="Z10" s="938"/>
      <c r="AA10" s="986">
        <v>100</v>
      </c>
      <c r="AB10" s="1071">
        <v>44819</v>
      </c>
      <c r="AC10" s="1050"/>
      <c r="AD10" s="1071"/>
      <c r="AE10" s="994"/>
      <c r="AF10" s="1073">
        <v>44781</v>
      </c>
      <c r="AG10" s="963">
        <v>500</v>
      </c>
      <c r="AH10" s="610"/>
      <c r="AI10" s="1052"/>
    </row>
    <row r="11" spans="1:37" x14ac:dyDescent="0.25">
      <c r="A11" s="659"/>
      <c r="B11" s="979"/>
      <c r="C11" s="1060"/>
      <c r="D11" s="663"/>
      <c r="E11" s="979">
        <v>44805</v>
      </c>
      <c r="F11" s="1061">
        <v>100.01</v>
      </c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62"/>
      <c r="R11" s="1068"/>
      <c r="S11" s="1069"/>
      <c r="T11" s="1068"/>
      <c r="U11" s="1070"/>
      <c r="V11" s="1068"/>
      <c r="W11" s="1051">
        <v>30</v>
      </c>
      <c r="X11" s="1071"/>
      <c r="Y11" s="991"/>
      <c r="Z11" s="938"/>
      <c r="AA11" s="986"/>
      <c r="AB11" s="1071"/>
      <c r="AC11" s="1050"/>
      <c r="AD11" s="1071"/>
      <c r="AE11" s="994"/>
      <c r="AF11" s="1073">
        <v>44789</v>
      </c>
      <c r="AG11" s="963">
        <v>1000</v>
      </c>
      <c r="AH11" s="610"/>
      <c r="AI11" s="1052"/>
    </row>
    <row r="12" spans="1:37" x14ac:dyDescent="0.25">
      <c r="A12" s="659"/>
      <c r="B12" s="979"/>
      <c r="C12" s="1060"/>
      <c r="D12" s="663">
        <v>164.16</v>
      </c>
      <c r="E12" s="979">
        <v>44807</v>
      </c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62"/>
      <c r="R12" s="1068"/>
      <c r="S12" s="1069"/>
      <c r="T12" s="1068"/>
      <c r="U12" s="1070"/>
      <c r="V12" s="1068"/>
      <c r="W12" s="1051">
        <v>150</v>
      </c>
      <c r="X12" s="1071"/>
      <c r="Y12" s="991"/>
      <c r="Z12" s="938"/>
      <c r="AA12" s="986"/>
      <c r="AB12" s="1071"/>
      <c r="AC12" s="1050"/>
      <c r="AD12" s="1071"/>
      <c r="AE12" s="994"/>
      <c r="AF12" s="1073">
        <v>44792</v>
      </c>
      <c r="AG12" s="963">
        <v>1000</v>
      </c>
      <c r="AH12" s="610"/>
      <c r="AI12" s="1052"/>
    </row>
    <row r="13" spans="1:37" x14ac:dyDescent="0.25">
      <c r="A13" s="659"/>
      <c r="B13" s="979"/>
      <c r="C13" s="1060"/>
      <c r="D13" s="1119">
        <v>100</v>
      </c>
      <c r="E13" s="1120">
        <v>44813</v>
      </c>
      <c r="F13" s="112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62"/>
      <c r="R13" s="1068"/>
      <c r="S13" s="1069"/>
      <c r="T13" s="1068"/>
      <c r="U13" s="1070"/>
      <c r="V13" s="1068"/>
      <c r="W13" s="1051">
        <v>20</v>
      </c>
      <c r="X13" s="1071"/>
      <c r="Y13" s="991"/>
      <c r="Z13" s="938"/>
      <c r="AA13" s="986"/>
      <c r="AB13" s="1071"/>
      <c r="AC13" s="1050"/>
      <c r="AD13" s="1071"/>
      <c r="AE13" s="1072"/>
      <c r="AF13" s="1073">
        <v>44793</v>
      </c>
      <c r="AG13" s="963">
        <v>800</v>
      </c>
      <c r="AH13" s="610"/>
      <c r="AI13" s="1052"/>
    </row>
    <row r="14" spans="1:37" x14ac:dyDescent="0.25">
      <c r="A14" s="681"/>
      <c r="B14" s="979"/>
      <c r="C14" s="946"/>
      <c r="D14" s="618">
        <v>203.23</v>
      </c>
      <c r="E14" s="979">
        <v>44816</v>
      </c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>
        <v>80</v>
      </c>
      <c r="X14" s="938" t="s">
        <v>545</v>
      </c>
      <c r="Y14" s="990"/>
      <c r="Z14" s="938"/>
      <c r="AA14" s="976"/>
      <c r="AB14" s="938"/>
      <c r="AC14" s="1050"/>
      <c r="AD14" s="1071"/>
      <c r="AE14" s="994"/>
      <c r="AF14" s="997">
        <v>44804</v>
      </c>
      <c r="AG14" s="963">
        <v>200</v>
      </c>
      <c r="AH14" s="610"/>
    </row>
    <row r="15" spans="1:37" ht="18.75" x14ac:dyDescent="0.25">
      <c r="A15" s="681"/>
      <c r="B15" s="979"/>
      <c r="C15" s="946"/>
      <c r="D15" s="618"/>
      <c r="E15" s="979">
        <v>44821</v>
      </c>
      <c r="F15" s="953">
        <v>100.01</v>
      </c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986"/>
      <c r="V15" s="938"/>
      <c r="W15" s="990">
        <v>100</v>
      </c>
      <c r="X15" s="938"/>
      <c r="Y15" s="1053" t="s">
        <v>540</v>
      </c>
      <c r="Z15" s="1054" t="s">
        <v>47</v>
      </c>
      <c r="AA15" s="1056" t="s">
        <v>537</v>
      </c>
      <c r="AB15" s="1054" t="s">
        <v>47</v>
      </c>
      <c r="AC15" s="1055" t="s">
        <v>495</v>
      </c>
      <c r="AD15" s="1054" t="s">
        <v>47</v>
      </c>
      <c r="AE15" s="994"/>
      <c r="AF15" s="997">
        <v>44804</v>
      </c>
      <c r="AG15" s="963">
        <v>200</v>
      </c>
      <c r="AH15" s="610"/>
    </row>
    <row r="16" spans="1:37" x14ac:dyDescent="0.25">
      <c r="A16" s="681"/>
      <c r="B16" s="979"/>
      <c r="C16" s="946"/>
      <c r="D16" s="618"/>
      <c r="E16" s="979">
        <v>44822</v>
      </c>
      <c r="F16" s="953">
        <v>75.11</v>
      </c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0">
        <v>100</v>
      </c>
      <c r="X16" s="938" t="s">
        <v>549</v>
      </c>
      <c r="Y16" s="990">
        <v>100</v>
      </c>
      <c r="Z16" s="938">
        <v>44760</v>
      </c>
      <c r="AA16" s="986">
        <v>100</v>
      </c>
      <c r="AB16" s="938">
        <v>44774</v>
      </c>
      <c r="AC16" s="990">
        <v>100</v>
      </c>
      <c r="AD16" s="938">
        <v>44770</v>
      </c>
      <c r="AE16" s="994"/>
      <c r="AF16" s="997">
        <v>44807</v>
      </c>
      <c r="AG16" s="963">
        <v>1000</v>
      </c>
      <c r="AH16" s="610"/>
    </row>
    <row r="17" spans="1:34" x14ac:dyDescent="0.25">
      <c r="A17" s="659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62"/>
      <c r="R17" s="1068"/>
      <c r="S17" s="1069"/>
      <c r="T17" s="1068"/>
      <c r="U17" s="1070"/>
      <c r="V17" s="1068"/>
      <c r="W17" s="1051">
        <v>100</v>
      </c>
      <c r="X17" s="938">
        <v>44808</v>
      </c>
      <c r="Y17" s="990">
        <v>100</v>
      </c>
      <c r="Z17" s="938">
        <v>44763</v>
      </c>
      <c r="AA17" s="986">
        <v>100</v>
      </c>
      <c r="AB17" s="1071">
        <v>44781</v>
      </c>
      <c r="AC17" s="1051">
        <v>100</v>
      </c>
      <c r="AD17" s="1071">
        <v>44774</v>
      </c>
      <c r="AE17" s="1072"/>
      <c r="AF17" s="1073">
        <v>44818</v>
      </c>
      <c r="AG17" s="963">
        <v>200</v>
      </c>
      <c r="AH17" s="610"/>
    </row>
    <row r="18" spans="1:34" x14ac:dyDescent="0.25">
      <c r="A18" s="659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62"/>
      <c r="R18" s="1068"/>
      <c r="S18" s="1069"/>
      <c r="T18" s="1068"/>
      <c r="U18" s="1070"/>
      <c r="V18" s="1068"/>
      <c r="W18" s="1051">
        <v>100</v>
      </c>
      <c r="X18" s="938">
        <v>44810</v>
      </c>
      <c r="Y18" s="990">
        <v>200</v>
      </c>
      <c r="Z18" s="938"/>
      <c r="AA18" s="986">
        <v>100</v>
      </c>
      <c r="AB18" s="1071">
        <v>44790</v>
      </c>
      <c r="AC18" s="1051">
        <v>100</v>
      </c>
      <c r="AD18" s="1071">
        <v>44778</v>
      </c>
      <c r="AE18" s="1072"/>
      <c r="AF18" s="1073">
        <v>44819</v>
      </c>
      <c r="AG18" s="963">
        <v>700</v>
      </c>
      <c r="AH18" s="610"/>
    </row>
    <row r="19" spans="1:34" x14ac:dyDescent="0.25">
      <c r="A19" s="659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62"/>
      <c r="R19" s="1068"/>
      <c r="S19" s="1069"/>
      <c r="T19" s="1068"/>
      <c r="U19" s="1070"/>
      <c r="V19" s="1068"/>
      <c r="W19" s="1051">
        <v>50</v>
      </c>
      <c r="X19" s="938">
        <v>44816</v>
      </c>
      <c r="Y19" s="991"/>
      <c r="Z19" s="938"/>
      <c r="AA19" s="986">
        <v>100</v>
      </c>
      <c r="AB19" s="1071"/>
      <c r="AC19" s="1051">
        <v>100</v>
      </c>
      <c r="AD19" s="1071">
        <v>44781</v>
      </c>
      <c r="AE19" s="1072"/>
      <c r="AF19" s="1073"/>
      <c r="AG19" s="963"/>
      <c r="AH19" s="610"/>
    </row>
    <row r="20" spans="1:34" x14ac:dyDescent="0.25">
      <c r="A20" s="681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0">
        <v>50</v>
      </c>
      <c r="X20" s="938">
        <v>44819</v>
      </c>
      <c r="Y20" s="990"/>
      <c r="Z20" s="938"/>
      <c r="AA20" s="986">
        <v>50</v>
      </c>
      <c r="AB20" s="938" t="s">
        <v>483</v>
      </c>
      <c r="AC20" s="990">
        <v>200</v>
      </c>
      <c r="AD20" s="938">
        <v>44786</v>
      </c>
      <c r="AE20" s="994"/>
      <c r="AF20" s="997"/>
      <c r="AG20" s="963"/>
      <c r="AH20" s="610"/>
    </row>
    <row r="21" spans="1:34" x14ac:dyDescent="0.25">
      <c r="A21" s="681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0">
        <v>50</v>
      </c>
      <c r="X21" s="938"/>
      <c r="Y21" s="990"/>
      <c r="Z21" s="938"/>
      <c r="AA21" s="986">
        <v>50</v>
      </c>
      <c r="AB21" s="938">
        <v>44809</v>
      </c>
      <c r="AC21" s="990">
        <v>100</v>
      </c>
      <c r="AD21" s="938">
        <v>44792</v>
      </c>
      <c r="AE21" s="994"/>
      <c r="AF21" s="997"/>
      <c r="AG21" s="963"/>
      <c r="AH21" s="610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>
        <v>50</v>
      </c>
      <c r="AB22" s="938">
        <v>44816</v>
      </c>
      <c r="AC22" s="990">
        <v>100</v>
      </c>
      <c r="AD22" s="938">
        <v>44807</v>
      </c>
      <c r="AE22" s="994"/>
      <c r="AF22" s="997"/>
      <c r="AG22" s="963"/>
      <c r="AH22" s="610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86">
        <v>50</v>
      </c>
      <c r="AB23" s="938">
        <v>44818</v>
      </c>
      <c r="AC23" s="991"/>
      <c r="AD23" s="938"/>
      <c r="AE23" s="994"/>
      <c r="AF23" s="997"/>
      <c r="AG23" s="963"/>
      <c r="AH23" s="610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63"/>
      <c r="AH24" s="1109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63"/>
      <c r="AH25" s="610"/>
    </row>
    <row r="26" spans="1:34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63"/>
      <c r="AH26" s="610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63"/>
      <c r="AH27" s="614"/>
    </row>
    <row r="28" spans="1:34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055" t="s">
        <v>538</v>
      </c>
      <c r="Z28" s="1054" t="s">
        <v>47</v>
      </c>
      <c r="AA28" s="1057" t="s">
        <v>539</v>
      </c>
      <c r="AB28" s="1054" t="s">
        <v>47</v>
      </c>
      <c r="AC28" s="1055" t="s">
        <v>542</v>
      </c>
      <c r="AD28" s="1054" t="s">
        <v>47</v>
      </c>
      <c r="AE28" s="994"/>
      <c r="AF28" s="997"/>
      <c r="AG28" s="963"/>
      <c r="AH28" s="614"/>
    </row>
    <row r="29" spans="1:34" x14ac:dyDescent="0.25">
      <c r="A29" s="681"/>
      <c r="B29" s="979"/>
      <c r="C29" s="946"/>
      <c r="D29" s="618"/>
      <c r="E29" s="979"/>
      <c r="F29" s="953"/>
      <c r="G29" s="976"/>
      <c r="H29" s="953"/>
      <c r="I29" s="618"/>
      <c r="J29" s="979"/>
      <c r="K29" s="953"/>
      <c r="L29" s="960"/>
      <c r="M29" s="982"/>
      <c r="N29" s="953"/>
      <c r="O29" s="976"/>
      <c r="P29" s="946"/>
      <c r="Q29" s="986"/>
      <c r="R29" s="938"/>
      <c r="S29" s="976"/>
      <c r="T29" s="938"/>
      <c r="U29" s="986"/>
      <c r="V29" s="938"/>
      <c r="W29" s="991"/>
      <c r="X29" s="938"/>
      <c r="Y29" s="990">
        <v>100</v>
      </c>
      <c r="Z29" s="938">
        <v>44774</v>
      </c>
      <c r="AA29" s="986">
        <v>100</v>
      </c>
      <c r="AB29" s="938">
        <v>44774</v>
      </c>
      <c r="AC29" s="990">
        <v>100</v>
      </c>
      <c r="AD29" s="938">
        <v>44789</v>
      </c>
      <c r="AE29" s="994"/>
      <c r="AF29" s="997"/>
      <c r="AG29" s="963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0">
        <v>100</v>
      </c>
      <c r="Z30" s="938">
        <v>44781</v>
      </c>
      <c r="AA30" s="986">
        <v>100</v>
      </c>
      <c r="AB30" s="938">
        <v>44781</v>
      </c>
      <c r="AC30" s="990">
        <v>100</v>
      </c>
      <c r="AD30" s="938">
        <v>44792</v>
      </c>
      <c r="AE30" s="994"/>
      <c r="AF30" s="997"/>
      <c r="AG30" s="96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>
        <v>50</v>
      </c>
      <c r="AB31" s="938">
        <v>44783</v>
      </c>
      <c r="AC31" s="990">
        <v>100</v>
      </c>
      <c r="AD31" s="938"/>
      <c r="AE31" s="994"/>
      <c r="AF31" s="997"/>
      <c r="AG31" s="96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76"/>
      <c r="AB32" s="938"/>
      <c r="AC32" s="991"/>
      <c r="AD32" s="938"/>
      <c r="AE32" s="994"/>
      <c r="AF32" s="997"/>
      <c r="AG32" s="96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86"/>
      <c r="AB35" s="938"/>
      <c r="AC35" s="991"/>
      <c r="AD35" s="938"/>
      <c r="AE35" s="994"/>
      <c r="AF35" s="997"/>
      <c r="AG35" s="96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76"/>
      <c r="AB37" s="938"/>
      <c r="AC37" s="991"/>
      <c r="AD37" s="938"/>
      <c r="AE37" s="994"/>
      <c r="AF37" s="997"/>
      <c r="AG37" s="96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86"/>
      <c r="AB39" s="938"/>
      <c r="AC39" s="991"/>
      <c r="AD39" s="938"/>
      <c r="AE39" s="994"/>
      <c r="AF39" s="997"/>
      <c r="AG39" s="96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4" ht="15.75" thickBot="1" x14ac:dyDescent="0.3">
      <c r="A41" s="682"/>
      <c r="B41" s="1000"/>
      <c r="C41" s="948"/>
      <c r="D41" s="675"/>
      <c r="E41" s="999"/>
      <c r="F41" s="954"/>
      <c r="G41" s="977"/>
      <c r="H41" s="954"/>
      <c r="I41" s="624"/>
      <c r="J41" s="980"/>
      <c r="K41" s="958"/>
      <c r="L41" s="961"/>
      <c r="M41" s="983"/>
      <c r="N41" s="954"/>
      <c r="O41" s="985"/>
      <c r="P41" s="947"/>
      <c r="Q41" s="987"/>
      <c r="R41" s="939"/>
      <c r="S41" s="988"/>
      <c r="T41" s="940"/>
      <c r="U41" s="987"/>
      <c r="V41" s="939"/>
      <c r="W41" s="992"/>
      <c r="X41" s="939"/>
      <c r="Y41" s="992"/>
      <c r="Z41" s="939"/>
      <c r="AA41" s="987"/>
      <c r="AB41" s="939"/>
      <c r="AC41" s="992"/>
      <c r="AD41" s="939"/>
      <c r="AE41" s="995"/>
      <c r="AF41" s="998"/>
      <c r="AG41" s="1108"/>
      <c r="AH41" s="614"/>
    </row>
    <row r="42" spans="1:34" ht="15.75" thickBot="1" x14ac:dyDescent="0.3">
      <c r="A42" s="1285" t="s">
        <v>102</v>
      </c>
      <c r="B42" s="1284"/>
      <c r="C42" s="1277"/>
      <c r="D42" s="669" t="s">
        <v>103</v>
      </c>
      <c r="E42" s="669" t="s">
        <v>61</v>
      </c>
      <c r="F42" s="955" t="s">
        <v>103</v>
      </c>
      <c r="G42" s="1276" t="s">
        <v>103</v>
      </c>
      <c r="H42" s="1277"/>
      <c r="I42" s="1286" t="s">
        <v>102</v>
      </c>
      <c r="J42" s="1287"/>
      <c r="K42" s="1288"/>
      <c r="L42" s="1283" t="s">
        <v>102</v>
      </c>
      <c r="M42" s="1284"/>
      <c r="N42" s="1277"/>
      <c r="O42" s="1286" t="s">
        <v>104</v>
      </c>
      <c r="P42" s="1288"/>
      <c r="Q42" s="1276" t="s">
        <v>104</v>
      </c>
      <c r="R42" s="1277"/>
      <c r="S42" s="1276" t="s">
        <v>104</v>
      </c>
      <c r="T42" s="1277"/>
      <c r="U42" s="1276" t="s">
        <v>104</v>
      </c>
      <c r="V42" s="1277"/>
      <c r="W42" s="1276" t="s">
        <v>104</v>
      </c>
      <c r="X42" s="1277"/>
      <c r="Y42" s="1276" t="s">
        <v>104</v>
      </c>
      <c r="Z42" s="1277"/>
      <c r="AA42" s="1276" t="s">
        <v>102</v>
      </c>
      <c r="AB42" s="1277"/>
      <c r="AC42" s="1276" t="s">
        <v>102</v>
      </c>
      <c r="AD42" s="1277"/>
      <c r="AE42" s="1283" t="s">
        <v>102</v>
      </c>
      <c r="AF42" s="1284"/>
      <c r="AG42" s="1277"/>
      <c r="AH42" s="614"/>
    </row>
    <row r="43" spans="1:34" x14ac:dyDescent="0.25">
      <c r="A43" s="872">
        <f>SUM(A3:A41)</f>
        <v>16449.91</v>
      </c>
      <c r="B43" s="626"/>
      <c r="C43" s="949">
        <f>SUM(C3:C41)</f>
        <v>3801</v>
      </c>
      <c r="D43" s="950">
        <f>SUM(D3:D41)</f>
        <v>1362.8400000000001</v>
      </c>
      <c r="E43" s="629">
        <v>0</v>
      </c>
      <c r="F43" s="956">
        <f>SUM(F3:F41)</f>
        <v>568.56999999999994</v>
      </c>
      <c r="G43" s="936">
        <f>SUM(G3:G41)</f>
        <v>0</v>
      </c>
      <c r="H43" s="957">
        <f>SUM(H3:H41)</f>
        <v>0</v>
      </c>
      <c r="I43" s="936">
        <f>SUM(I3:I41)</f>
        <v>0</v>
      </c>
      <c r="J43" s="629"/>
      <c r="K43" s="957">
        <f>SUM(K3:K41)</f>
        <v>0</v>
      </c>
      <c r="L43" s="962">
        <f>SUM(L3:L41)</f>
        <v>0</v>
      </c>
      <c r="M43" s="873" t="s">
        <v>49</v>
      </c>
      <c r="N43" s="956" t="s">
        <v>46</v>
      </c>
      <c r="O43" s="1045">
        <f>O3+O5</f>
        <v>1731.4400000000005</v>
      </c>
      <c r="P43" s="1078" t="s">
        <v>395</v>
      </c>
      <c r="Q43" s="1045">
        <f>SUM(Q3:Q41)</f>
        <v>850</v>
      </c>
      <c r="R43" s="1078" t="str">
        <f>Q2</f>
        <v>Pavel Vaculka</v>
      </c>
      <c r="S43" s="1045">
        <f>SUM(S3:S41)</f>
        <v>225</v>
      </c>
      <c r="T43" s="1105" t="str">
        <f>S2</f>
        <v>Pavel Zoula</v>
      </c>
      <c r="U43" s="1045">
        <f>SUM(U3:U41)</f>
        <v>520</v>
      </c>
      <c r="V43" s="1078" t="str">
        <f>U2</f>
        <v>Pavel Paul</v>
      </c>
      <c r="W43" s="1045">
        <f>SUM(W3:W41)</f>
        <v>1410</v>
      </c>
      <c r="X43" s="1078" t="str">
        <f>W2</f>
        <v>Ondřej Klimeš</v>
      </c>
      <c r="Y43" s="1045">
        <f>SUM(Y3:Y6)</f>
        <v>1700</v>
      </c>
      <c r="Z43" s="1078" t="str">
        <f>Y2</f>
        <v>Tomáš Bogdan</v>
      </c>
      <c r="AA43" s="1045">
        <f>SUM(AA3:AA4)</f>
        <v>200</v>
      </c>
      <c r="AB43" s="1078" t="str">
        <f>AA2</f>
        <v>Vladimír Kvapil</v>
      </c>
      <c r="AC43" s="1045">
        <f>SUM(AC3:AC14)</f>
        <v>70</v>
      </c>
      <c r="AD43" s="1078" t="str">
        <f>AC2</f>
        <v>Aleš Jícha</v>
      </c>
      <c r="AE43" s="962">
        <f>SUM(AE3:AE41)</f>
        <v>0</v>
      </c>
      <c r="AF43" s="629"/>
      <c r="AG43" s="957">
        <f>SUM(AG3:AG41)</f>
        <v>11750</v>
      </c>
      <c r="AH43" s="614"/>
    </row>
    <row r="44" spans="1:34" x14ac:dyDescent="0.25">
      <c r="A44" s="634"/>
      <c r="B44" s="635"/>
      <c r="C44" s="935"/>
      <c r="D44" s="951"/>
      <c r="E44" s="635"/>
      <c r="F44" s="935"/>
      <c r="G44" s="951"/>
      <c r="H44" s="935"/>
      <c r="I44" s="951"/>
      <c r="J44" s="635"/>
      <c r="K44" s="935"/>
      <c r="L44" s="951"/>
      <c r="M44" s="1058">
        <f>N3+N4+N5</f>
        <v>14.99</v>
      </c>
      <c r="N44" s="1059">
        <f>N38+N39+N40</f>
        <v>0</v>
      </c>
      <c r="O44" s="1023">
        <v>400</v>
      </c>
      <c r="P44" s="935" t="s">
        <v>416</v>
      </c>
      <c r="Q44" s="1023">
        <v>450</v>
      </c>
      <c r="R44" s="935" t="s">
        <v>416</v>
      </c>
      <c r="S44" s="1023">
        <v>50</v>
      </c>
      <c r="T44" s="935" t="s">
        <v>416</v>
      </c>
      <c r="U44" s="1023">
        <v>240</v>
      </c>
      <c r="V44" s="935" t="s">
        <v>416</v>
      </c>
      <c r="W44" s="1024">
        <v>220</v>
      </c>
      <c r="X44" s="935" t="s">
        <v>416</v>
      </c>
      <c r="Y44" s="1024">
        <v>1700</v>
      </c>
      <c r="Z44" s="935" t="s">
        <v>416</v>
      </c>
      <c r="AA44" s="1024">
        <v>200</v>
      </c>
      <c r="AB44" s="935" t="s">
        <v>416</v>
      </c>
      <c r="AC44" s="1024">
        <v>70</v>
      </c>
      <c r="AD44" s="935" t="s">
        <v>416</v>
      </c>
      <c r="AE44" s="951"/>
      <c r="AF44" s="635"/>
      <c r="AG44" s="935"/>
      <c r="AH44" s="614"/>
    </row>
    <row r="45" spans="1:34" ht="15.75" thickBot="1" x14ac:dyDescent="0.3">
      <c r="A45" s="969"/>
      <c r="B45" s="970"/>
      <c r="C45" s="971"/>
      <c r="D45" s="972"/>
      <c r="E45" s="970"/>
      <c r="F45" s="971"/>
      <c r="G45" s="972"/>
      <c r="H45" s="971"/>
      <c r="I45" s="972"/>
      <c r="J45" s="970"/>
      <c r="K45" s="971"/>
      <c r="L45" s="972"/>
      <c r="M45" s="970"/>
      <c r="N45" s="971"/>
      <c r="O45" s="1118">
        <v>600</v>
      </c>
      <c r="P45" s="971" t="s">
        <v>541</v>
      </c>
      <c r="Q45" s="1118">
        <f>Q43-Q44</f>
        <v>400</v>
      </c>
      <c r="R45" s="971" t="s">
        <v>541</v>
      </c>
      <c r="S45" s="1118">
        <v>100</v>
      </c>
      <c r="T45" s="971" t="s">
        <v>541</v>
      </c>
      <c r="U45" s="1118">
        <f>U43-U44</f>
        <v>280</v>
      </c>
      <c r="V45" s="971" t="s">
        <v>541</v>
      </c>
      <c r="W45" s="1110">
        <v>900</v>
      </c>
      <c r="X45" s="971" t="s">
        <v>541</v>
      </c>
      <c r="Y45" s="1110">
        <f>Y43-Y44</f>
        <v>0</v>
      </c>
      <c r="Z45" s="971" t="s">
        <v>541</v>
      </c>
      <c r="AA45" s="1110">
        <f>AA43-AA44</f>
        <v>0</v>
      </c>
      <c r="AB45" s="971" t="s">
        <v>541</v>
      </c>
      <c r="AC45" s="1022">
        <f>AC43-AC44</f>
        <v>0</v>
      </c>
      <c r="AD45" s="971" t="s">
        <v>541</v>
      </c>
      <c r="AE45" s="972"/>
      <c r="AF45" s="970"/>
      <c r="AG45" s="971"/>
      <c r="AH45" s="614"/>
    </row>
    <row r="46" spans="1:34" ht="16.5" thickTop="1" thickBot="1" x14ac:dyDescent="0.3">
      <c r="A46" s="1111"/>
      <c r="B46" s="1111"/>
      <c r="C46" s="1111"/>
      <c r="D46" s="1111"/>
      <c r="E46" s="1111"/>
      <c r="F46" s="1111"/>
      <c r="G46" s="1111"/>
      <c r="H46" s="1111"/>
      <c r="I46" s="1111"/>
      <c r="J46" s="1111"/>
      <c r="K46" s="1111"/>
      <c r="L46" s="1111"/>
      <c r="M46" s="1111"/>
      <c r="N46" s="1111"/>
      <c r="O46" s="1112">
        <f>O43-O44-O45</f>
        <v>731.44000000000051</v>
      </c>
      <c r="P46" s="1111" t="s">
        <v>548</v>
      </c>
      <c r="Q46" s="1023">
        <f>Q43-Q44-Q45</f>
        <v>0</v>
      </c>
      <c r="R46" s="935" t="s">
        <v>548</v>
      </c>
      <c r="S46" s="1117">
        <f>S43-S44-S45</f>
        <v>75</v>
      </c>
      <c r="T46" s="935" t="s">
        <v>548</v>
      </c>
      <c r="U46" s="1023">
        <f>U43-U44-U45</f>
        <v>0</v>
      </c>
      <c r="V46" s="935" t="s">
        <v>548</v>
      </c>
      <c r="W46" s="886">
        <f>W43-W44-W45</f>
        <v>290</v>
      </c>
      <c r="X46" s="935" t="s">
        <v>548</v>
      </c>
      <c r="Y46" s="1114"/>
      <c r="Z46" s="1113" t="s">
        <v>548</v>
      </c>
      <c r="AA46" s="1114"/>
      <c r="AB46" s="1113" t="s">
        <v>548</v>
      </c>
      <c r="AC46" s="1115"/>
      <c r="AD46" s="1113" t="s">
        <v>548</v>
      </c>
      <c r="AE46" s="1111"/>
      <c r="AF46" s="1111"/>
      <c r="AG46" s="1111"/>
      <c r="AH46" s="614"/>
    </row>
    <row r="47" spans="1:34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610"/>
      <c r="P47" s="610"/>
      <c r="Y47" s="1074">
        <f>SUM(Y16:Y27)</f>
        <v>400</v>
      </c>
      <c r="Z47" s="1046" t="str">
        <f>Y15</f>
        <v>Lukáš Langr</v>
      </c>
      <c r="AA47" s="1045">
        <f>SUM(AA16:AA27)</f>
        <v>600</v>
      </c>
      <c r="AB47" s="1046" t="str">
        <f>AA15</f>
        <v>Karel Havel</v>
      </c>
      <c r="AC47" s="1045">
        <f>SUM(AC16:AC27)</f>
        <v>800</v>
      </c>
      <c r="AD47" s="1078" t="str">
        <f>AC15</f>
        <v>Erik Maloň</v>
      </c>
      <c r="AE47" s="610"/>
      <c r="AF47" s="610"/>
      <c r="AG47" s="610"/>
    </row>
    <row r="48" spans="1:34" x14ac:dyDescent="0.25">
      <c r="Q48" s="1033"/>
      <c r="R48" s="1034"/>
      <c r="S48" s="1035"/>
      <c r="X48" s="610"/>
      <c r="Y48" s="1076">
        <v>400</v>
      </c>
      <c r="Z48" s="935" t="s">
        <v>416</v>
      </c>
      <c r="AA48" s="1024">
        <v>0</v>
      </c>
      <c r="AB48" s="935" t="s">
        <v>416</v>
      </c>
      <c r="AC48" s="1024">
        <v>100</v>
      </c>
      <c r="AD48" s="935" t="s">
        <v>416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">
        <v>541</v>
      </c>
      <c r="AA49" s="974">
        <v>400</v>
      </c>
      <c r="AB49" s="971" t="s">
        <v>541</v>
      </c>
      <c r="AC49" s="1110">
        <v>600</v>
      </c>
      <c r="AD49" s="971" t="s">
        <v>541</v>
      </c>
    </row>
    <row r="50" spans="17:31" ht="16.5" thickTop="1" thickBot="1" x14ac:dyDescent="0.3">
      <c r="Q50" s="1033"/>
      <c r="R50" s="1034"/>
      <c r="S50" s="1035"/>
      <c r="X50" s="610"/>
      <c r="Y50" s="1023">
        <f>Y47-Y48-Y49</f>
        <v>0</v>
      </c>
      <c r="Z50" s="935" t="s">
        <v>548</v>
      </c>
      <c r="AA50" s="886">
        <f>AA47-AA48-AA49</f>
        <v>200</v>
      </c>
      <c r="AB50" s="935" t="s">
        <v>548</v>
      </c>
      <c r="AC50" s="1114">
        <f>AC47-AC48-AC49</f>
        <v>100</v>
      </c>
      <c r="AD50" s="1116" t="s">
        <v>548</v>
      </c>
    </row>
    <row r="51" spans="17:31" x14ac:dyDescent="0.25">
      <c r="Q51" s="1033"/>
      <c r="R51" s="1034"/>
      <c r="S51" s="1035"/>
      <c r="X51" s="610"/>
      <c r="Y51" s="1074">
        <f>SUM(Y29:Y41)</f>
        <v>200</v>
      </c>
      <c r="Z51" s="1046" t="str">
        <f>Y28</f>
        <v>Pavel Potůček</v>
      </c>
      <c r="AA51" s="1045">
        <f>SUM(AA29:AA41)</f>
        <v>250</v>
      </c>
      <c r="AB51" s="1046" t="str">
        <f>AA28</f>
        <v>Krištof Šplouchal</v>
      </c>
      <c r="AC51" s="1045">
        <f>SUM(AC29:AC41)</f>
        <v>300</v>
      </c>
      <c r="AD51" s="1075" t="str">
        <f>AC28</f>
        <v>Tomáš Ječný</v>
      </c>
      <c r="AE51" s="610"/>
    </row>
    <row r="52" spans="17:31" x14ac:dyDescent="0.25">
      <c r="Q52" s="1033"/>
      <c r="R52" s="1033"/>
      <c r="S52" s="1035"/>
      <c r="X52" s="610"/>
      <c r="Y52" s="1076">
        <v>0</v>
      </c>
      <c r="Z52" s="935" t="s">
        <v>416</v>
      </c>
      <c r="AA52" s="1024">
        <v>0</v>
      </c>
      <c r="AB52" s="935" t="s">
        <v>416</v>
      </c>
      <c r="AC52" s="1024">
        <v>0</v>
      </c>
      <c r="AD52" s="935" t="s">
        <v>416</v>
      </c>
    </row>
    <row r="53" spans="17:31" ht="15.75" thickBot="1" x14ac:dyDescent="0.3">
      <c r="Q53" s="1036"/>
      <c r="R53" s="1034"/>
      <c r="S53" s="1035"/>
      <c r="X53" s="610"/>
      <c r="Y53" s="1122">
        <f>Y51-Y52</f>
        <v>200</v>
      </c>
      <c r="Z53" s="971" t="s">
        <v>541</v>
      </c>
      <c r="AA53" s="1110">
        <f>AA51-AA52</f>
        <v>250</v>
      </c>
      <c r="AB53" s="971" t="s">
        <v>541</v>
      </c>
      <c r="AC53" s="974">
        <f>AC51-AC52</f>
        <v>300</v>
      </c>
      <c r="AD53" s="971" t="s">
        <v>541</v>
      </c>
    </row>
    <row r="54" spans="17:31" ht="16.5" thickTop="1" thickBot="1" x14ac:dyDescent="0.3">
      <c r="Q54" s="1036"/>
      <c r="R54" s="1034"/>
      <c r="S54" s="1035"/>
      <c r="X54" s="610"/>
      <c r="Y54" s="1023">
        <f>Y51-Y52-Y53</f>
        <v>0</v>
      </c>
      <c r="Z54" s="935" t="s">
        <v>548</v>
      </c>
      <c r="AA54" s="886">
        <f>AA51-AA52-AA53</f>
        <v>0</v>
      </c>
      <c r="AB54" s="935" t="s">
        <v>548</v>
      </c>
      <c r="AC54" s="1114"/>
      <c r="AD54" s="1111" t="s">
        <v>548</v>
      </c>
    </row>
    <row r="55" spans="17:31" x14ac:dyDescent="0.25">
      <c r="Q55" s="1035"/>
      <c r="R55" s="1035"/>
      <c r="S55" s="1035"/>
      <c r="Y55" s="1074">
        <f>SUM(Y8:Y14)</f>
        <v>200</v>
      </c>
      <c r="Z55" s="1046" t="str">
        <f>Y7</f>
        <v>Tomáš Čadek</v>
      </c>
      <c r="AA55" s="1045">
        <f>SUM(AA8:AA14)</f>
        <v>300</v>
      </c>
      <c r="AB55" s="1046" t="str">
        <f>AA7</f>
        <v>Jan Šiman</v>
      </c>
    </row>
    <row r="56" spans="17:31" x14ac:dyDescent="0.25">
      <c r="Q56" s="1035"/>
      <c r="R56" s="1037"/>
      <c r="S56" s="1035"/>
      <c r="Y56" s="1076">
        <v>0</v>
      </c>
      <c r="Z56" s="935" t="s">
        <v>416</v>
      </c>
      <c r="AA56" s="1024">
        <v>0</v>
      </c>
      <c r="AB56" s="935" t="s">
        <v>416</v>
      </c>
    </row>
    <row r="57" spans="17:31" ht="15.75" thickBot="1" x14ac:dyDescent="0.3">
      <c r="Q57" s="1035"/>
      <c r="R57" s="1037"/>
      <c r="S57" s="1035"/>
      <c r="Y57" s="1077">
        <f>Y55-Y56</f>
        <v>200</v>
      </c>
      <c r="Z57" s="971" t="s">
        <v>541</v>
      </c>
      <c r="AA57" s="1110">
        <v>100</v>
      </c>
      <c r="AB57" s="971" t="s">
        <v>541</v>
      </c>
    </row>
    <row r="58" spans="17:31" ht="15.75" thickTop="1" x14ac:dyDescent="0.25">
      <c r="Q58" s="1035"/>
      <c r="R58" s="1035"/>
      <c r="S58" s="1035"/>
      <c r="Y58" s="1023">
        <f>Y55-Y56-Y57</f>
        <v>0</v>
      </c>
      <c r="Z58" s="935" t="s">
        <v>548</v>
      </c>
      <c r="AA58" s="886">
        <f>AA55-AA56-AA57</f>
        <v>200</v>
      </c>
      <c r="AB58" s="935" t="s">
        <v>548</v>
      </c>
    </row>
    <row r="59" spans="17:31" x14ac:dyDescent="0.25">
      <c r="Q59" s="1035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Q61" s="1038"/>
      <c r="R61" s="1035"/>
      <c r="S61" s="1035"/>
    </row>
    <row r="62" spans="17:31" x14ac:dyDescent="0.25">
      <c r="Q62" s="1035"/>
      <c r="R62" s="1035"/>
      <c r="S62" s="1035"/>
    </row>
    <row r="63" spans="17:31" x14ac:dyDescent="0.25">
      <c r="R63" s="827"/>
    </row>
  </sheetData>
  <mergeCells count="25">
    <mergeCell ref="A1:F1"/>
    <mergeCell ref="G1:H1"/>
    <mergeCell ref="I1:K1"/>
    <mergeCell ref="L1:N1"/>
    <mergeCell ref="O1:P1"/>
    <mergeCell ref="Q42:R42"/>
    <mergeCell ref="AE1:AG1"/>
    <mergeCell ref="AH1:AI1"/>
    <mergeCell ref="AJ1:AK1"/>
    <mergeCell ref="AH4:AI4"/>
    <mergeCell ref="AJ4:AK4"/>
    <mergeCell ref="AH9:AI9"/>
    <mergeCell ref="Q1:AD1"/>
    <mergeCell ref="AE42:AG42"/>
    <mergeCell ref="S42:T42"/>
    <mergeCell ref="U42:V42"/>
    <mergeCell ref="W42:X42"/>
    <mergeCell ref="Y42:Z42"/>
    <mergeCell ref="AA42:AB42"/>
    <mergeCell ref="AC42:AD42"/>
    <mergeCell ref="A42:C42"/>
    <mergeCell ref="G42:H42"/>
    <mergeCell ref="I42:K42"/>
    <mergeCell ref="L42:N42"/>
    <mergeCell ref="O42:P42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2DEE7-A9BE-6540-A33C-98E95C6F858D}">
  <sheetPr>
    <tabColor theme="6"/>
  </sheetPr>
  <dimension ref="A1:AK60"/>
  <sheetViews>
    <sheetView topLeftCell="AI1" zoomScaleNormal="60" zoomScaleSheetLayoutView="100" workbookViewId="0">
      <selection activeCell="Z12" sqref="Z12"/>
    </sheetView>
  </sheetViews>
  <sheetFormatPr defaultColWidth="8.5703125" defaultRowHeight="15" x14ac:dyDescent="0.25"/>
  <cols>
    <col min="1" max="1" width="11.85546875" bestFit="1" customWidth="1"/>
    <col min="2" max="2" width="7.85546875" bestFit="1" customWidth="1"/>
    <col min="3" max="3" width="11.85546875" bestFit="1" customWidth="1"/>
    <col min="4" max="4" width="9.42578125" bestFit="1" customWidth="1"/>
    <col min="5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9.42578125" customWidth="1"/>
    <col min="18" max="18" width="10.5703125" bestFit="1" customWidth="1"/>
    <col min="19" max="19" width="9.42578125" bestFit="1" customWidth="1"/>
    <col min="20" max="20" width="10.28515625" bestFit="1" customWidth="1"/>
    <col min="21" max="21" width="13.140625" customWidth="1"/>
    <col min="22" max="22" width="10.28515625" bestFit="1" customWidth="1"/>
    <col min="23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9.140625" bestFit="1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534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483</v>
      </c>
      <c r="R2" s="966" t="s">
        <v>441</v>
      </c>
      <c r="S2" s="967" t="s">
        <v>55</v>
      </c>
      <c r="T2" s="966" t="s">
        <v>442</v>
      </c>
      <c r="U2" s="964" t="s">
        <v>528</v>
      </c>
      <c r="V2" s="966" t="s">
        <v>443</v>
      </c>
      <c r="W2" s="964" t="s">
        <v>490</v>
      </c>
      <c r="X2" s="966" t="s">
        <v>444</v>
      </c>
      <c r="Y2" s="964" t="s">
        <v>529</v>
      </c>
      <c r="Z2" s="966" t="s">
        <v>445</v>
      </c>
      <c r="AA2" s="964" t="s">
        <v>489</v>
      </c>
      <c r="AB2" s="966" t="s">
        <v>446</v>
      </c>
      <c r="AC2" s="964" t="s">
        <v>486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695">
        <v>3530.2</v>
      </c>
      <c r="B3" s="979">
        <v>44737</v>
      </c>
      <c r="C3" s="945"/>
      <c r="D3" s="619">
        <v>150.1</v>
      </c>
      <c r="E3" s="979">
        <v>44705</v>
      </c>
      <c r="F3" s="952"/>
      <c r="G3" s="975">
        <v>3.3</v>
      </c>
      <c r="H3" s="952">
        <v>4.3</v>
      </c>
      <c r="I3" s="619"/>
      <c r="J3" s="978"/>
      <c r="K3" s="952"/>
      <c r="L3" s="959"/>
      <c r="M3" s="981" t="s">
        <v>515</v>
      </c>
      <c r="N3" s="952">
        <v>19.8</v>
      </c>
      <c r="O3" s="984">
        <f>AG43-AK6-AI3</f>
        <v>1527.8600000000006</v>
      </c>
      <c r="P3" s="945"/>
      <c r="Q3" s="984">
        <v>100</v>
      </c>
      <c r="R3" s="937">
        <v>44712</v>
      </c>
      <c r="S3" s="1102">
        <v>100</v>
      </c>
      <c r="T3" s="1103">
        <v>44698</v>
      </c>
      <c r="U3" s="984">
        <v>2000</v>
      </c>
      <c r="V3" s="937">
        <v>44736</v>
      </c>
      <c r="W3" s="989">
        <v>100</v>
      </c>
      <c r="X3" s="937">
        <v>44716</v>
      </c>
      <c r="Y3" s="989">
        <v>100</v>
      </c>
      <c r="Z3" s="937">
        <v>44735</v>
      </c>
      <c r="AA3" s="1102">
        <v>100</v>
      </c>
      <c r="AB3" s="1103">
        <v>44708</v>
      </c>
      <c r="AC3" s="990"/>
      <c r="AD3" s="937"/>
      <c r="AE3" s="993"/>
      <c r="AF3" s="997" t="s">
        <v>119</v>
      </c>
      <c r="AG3" s="963">
        <f>'03cash22'!AI3</f>
        <v>340</v>
      </c>
      <c r="AH3" s="299">
        <v>0</v>
      </c>
      <c r="AI3" s="300">
        <v>150</v>
      </c>
      <c r="AJ3" s="301">
        <f>AH6+AJ6</f>
        <v>7057.7</v>
      </c>
      <c r="AK3" s="302">
        <f>AK6+AI6</f>
        <v>8367.23</v>
      </c>
    </row>
    <row r="4" spans="1:37" ht="19.5" thickBot="1" x14ac:dyDescent="0.3">
      <c r="A4" s="681">
        <v>3527.5</v>
      </c>
      <c r="B4" s="979">
        <v>44737</v>
      </c>
      <c r="C4" s="946"/>
      <c r="D4" s="618">
        <v>98.91</v>
      </c>
      <c r="E4" s="979">
        <v>44708</v>
      </c>
      <c r="F4" s="953"/>
      <c r="G4" s="976">
        <v>2.2999999999999998</v>
      </c>
      <c r="H4" s="953">
        <v>3.1</v>
      </c>
      <c r="I4" s="618"/>
      <c r="J4" s="979"/>
      <c r="K4" s="953"/>
      <c r="L4" s="960"/>
      <c r="M4" s="982" t="s">
        <v>516</v>
      </c>
      <c r="N4" s="953">
        <v>15</v>
      </c>
      <c r="O4" s="976"/>
      <c r="P4" s="946"/>
      <c r="Q4" s="986">
        <v>100</v>
      </c>
      <c r="R4" s="938">
        <v>44714</v>
      </c>
      <c r="S4" s="1097">
        <v>100</v>
      </c>
      <c r="T4" s="1098">
        <v>44709</v>
      </c>
      <c r="U4" s="986"/>
      <c r="V4" s="938"/>
      <c r="W4" s="990">
        <v>100</v>
      </c>
      <c r="X4" s="938">
        <v>44718</v>
      </c>
      <c r="Y4" s="990"/>
      <c r="Z4" s="938"/>
      <c r="AA4" s="986">
        <v>50</v>
      </c>
      <c r="AB4" s="938">
        <v>44719</v>
      </c>
      <c r="AC4" s="1051"/>
      <c r="AD4" s="938"/>
      <c r="AE4" s="994"/>
      <c r="AF4" s="997"/>
      <c r="AG4" s="963">
        <v>500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81"/>
      <c r="B5" s="979"/>
      <c r="C5" s="946"/>
      <c r="D5" s="663"/>
      <c r="E5" s="979">
        <v>44711</v>
      </c>
      <c r="F5" s="953">
        <v>170.03</v>
      </c>
      <c r="G5" s="976">
        <v>5.2</v>
      </c>
      <c r="H5" s="953">
        <v>6.9</v>
      </c>
      <c r="I5" s="618"/>
      <c r="J5" s="979"/>
      <c r="K5" s="953"/>
      <c r="L5" s="960"/>
      <c r="M5" s="982" t="s">
        <v>530</v>
      </c>
      <c r="N5" s="953">
        <v>39</v>
      </c>
      <c r="O5" s="976"/>
      <c r="P5" s="946"/>
      <c r="Q5" s="986">
        <v>80</v>
      </c>
      <c r="R5" s="938">
        <v>44716</v>
      </c>
      <c r="S5" s="986">
        <v>100</v>
      </c>
      <c r="T5" s="938">
        <v>44712</v>
      </c>
      <c r="U5" s="986"/>
      <c r="V5" s="938"/>
      <c r="W5" s="990">
        <v>100</v>
      </c>
      <c r="X5" s="938">
        <v>44722</v>
      </c>
      <c r="Y5" s="990"/>
      <c r="Z5" s="938"/>
      <c r="AA5" s="986">
        <v>50</v>
      </c>
      <c r="AB5" s="938">
        <v>44721</v>
      </c>
      <c r="AC5" s="1051"/>
      <c r="AD5" s="938"/>
      <c r="AE5" s="994"/>
      <c r="AF5" s="997">
        <v>44704</v>
      </c>
      <c r="AG5" s="963">
        <v>1000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81"/>
      <c r="B6" s="979"/>
      <c r="C6" s="946"/>
      <c r="D6" s="618">
        <v>135.51</v>
      </c>
      <c r="E6" s="979">
        <v>44714</v>
      </c>
      <c r="F6" s="953"/>
      <c r="G6" s="976">
        <v>2.2999999999999998</v>
      </c>
      <c r="H6" s="953"/>
      <c r="I6" s="618"/>
      <c r="J6" s="979"/>
      <c r="K6" s="953"/>
      <c r="L6" s="960"/>
      <c r="M6" s="982" t="s">
        <v>531</v>
      </c>
      <c r="N6" s="953">
        <v>725</v>
      </c>
      <c r="O6" s="976"/>
      <c r="P6" s="946"/>
      <c r="Q6" s="986">
        <v>50</v>
      </c>
      <c r="R6" s="938">
        <v>44718</v>
      </c>
      <c r="S6" s="986">
        <v>50</v>
      </c>
      <c r="T6" s="938">
        <v>44726</v>
      </c>
      <c r="U6" s="986"/>
      <c r="V6" s="938"/>
      <c r="W6" s="990">
        <v>100</v>
      </c>
      <c r="X6" s="938">
        <v>44725</v>
      </c>
      <c r="Y6" s="990"/>
      <c r="Z6" s="938"/>
      <c r="AA6" s="986">
        <v>50</v>
      </c>
      <c r="AB6" s="938">
        <v>44722</v>
      </c>
      <c r="AC6" s="1050"/>
      <c r="AD6" s="938"/>
      <c r="AE6" s="994"/>
      <c r="AF6" s="997">
        <v>44712</v>
      </c>
      <c r="AG6" s="963">
        <v>1000</v>
      </c>
      <c r="AH6" s="612">
        <f>A43+L43</f>
        <v>7057.7</v>
      </c>
      <c r="AI6" s="317">
        <f>D43+H43+K43+N44</f>
        <v>1505.09</v>
      </c>
      <c r="AJ6" s="128">
        <f>L44+C43</f>
        <v>0</v>
      </c>
      <c r="AK6" s="129">
        <f>F43+G43+I43+M44+Q43+S43+W43+Y43+AA43+AC43+Y46+Y49+AA46+AA49+AC46+AC49+U43</f>
        <v>6862.1399999999994</v>
      </c>
    </row>
    <row r="7" spans="1:37" ht="19.5" thickBot="1" x14ac:dyDescent="0.3">
      <c r="A7" s="681"/>
      <c r="B7" s="979"/>
      <c r="C7" s="946"/>
      <c r="D7" s="663"/>
      <c r="E7" s="979">
        <v>44715</v>
      </c>
      <c r="F7" s="953">
        <v>19.989999999999998</v>
      </c>
      <c r="G7" s="976">
        <v>3.3</v>
      </c>
      <c r="H7" s="953"/>
      <c r="I7" s="618"/>
      <c r="J7" s="979"/>
      <c r="K7" s="953"/>
      <c r="L7" s="960"/>
      <c r="M7" s="982" t="s">
        <v>532</v>
      </c>
      <c r="N7" s="953">
        <v>18.16</v>
      </c>
      <c r="O7" s="976"/>
      <c r="P7" s="946"/>
      <c r="Q7" s="986">
        <v>100</v>
      </c>
      <c r="R7" s="938">
        <v>44722</v>
      </c>
      <c r="S7" s="986">
        <v>5</v>
      </c>
      <c r="T7" s="938">
        <v>44737</v>
      </c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994"/>
      <c r="AF7" s="997">
        <v>44716</v>
      </c>
      <c r="AG7" s="963">
        <v>500</v>
      </c>
      <c r="AH7" s="613" t="s">
        <v>66</v>
      </c>
      <c r="AI7" s="321" t="s">
        <v>67</v>
      </c>
    </row>
    <row r="8" spans="1:37" x14ac:dyDescent="0.25">
      <c r="A8" s="681"/>
      <c r="B8" s="979"/>
      <c r="C8" s="946"/>
      <c r="D8" s="618"/>
      <c r="E8" s="979">
        <v>44716</v>
      </c>
      <c r="F8" s="953">
        <v>100</v>
      </c>
      <c r="G8" s="976">
        <v>5.2</v>
      </c>
      <c r="H8" s="953"/>
      <c r="I8" s="618"/>
      <c r="J8" s="979"/>
      <c r="K8" s="953"/>
      <c r="L8" s="960"/>
      <c r="M8" s="982" t="s">
        <v>533</v>
      </c>
      <c r="N8" s="953">
        <v>10.5</v>
      </c>
      <c r="O8" s="976"/>
      <c r="P8" s="946"/>
      <c r="Q8" s="986">
        <v>60</v>
      </c>
      <c r="R8" s="938">
        <v>44723</v>
      </c>
      <c r="S8" s="98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>
        <v>44720</v>
      </c>
      <c r="AG8" s="963">
        <v>1200</v>
      </c>
      <c r="AH8" s="326">
        <v>0</v>
      </c>
      <c r="AI8" s="327">
        <f>E43</f>
        <v>0</v>
      </c>
    </row>
    <row r="9" spans="1:37" ht="15.75" thickBot="1" x14ac:dyDescent="0.3">
      <c r="A9" s="681"/>
      <c r="B9" s="979"/>
      <c r="C9" s="946"/>
      <c r="D9" s="618"/>
      <c r="E9" s="979">
        <v>44716</v>
      </c>
      <c r="F9" s="953">
        <v>20</v>
      </c>
      <c r="G9" s="976">
        <v>1.5</v>
      </c>
      <c r="H9" s="953"/>
      <c r="I9" s="618"/>
      <c r="J9" s="979"/>
      <c r="K9" s="953"/>
      <c r="L9" s="960"/>
      <c r="M9" s="982"/>
      <c r="N9" s="953"/>
      <c r="O9" s="976"/>
      <c r="P9" s="946"/>
      <c r="Q9" s="986">
        <v>80</v>
      </c>
      <c r="R9" s="938">
        <v>44724</v>
      </c>
      <c r="S9" s="976"/>
      <c r="T9" s="938"/>
      <c r="U9" s="986"/>
      <c r="V9" s="938"/>
      <c r="W9" s="990"/>
      <c r="X9" s="938"/>
      <c r="Y9" s="990"/>
      <c r="Z9" s="938"/>
      <c r="AA9" s="986"/>
      <c r="AB9" s="938"/>
      <c r="AC9" s="990"/>
      <c r="AD9" s="938"/>
      <c r="AE9" s="994"/>
      <c r="AF9" s="997">
        <v>44724</v>
      </c>
      <c r="AG9" s="963">
        <v>500</v>
      </c>
      <c r="AH9" s="1244">
        <f>AH8-AI8</f>
        <v>0</v>
      </c>
      <c r="AI9" s="1222"/>
    </row>
    <row r="10" spans="1:37" x14ac:dyDescent="0.25">
      <c r="A10" s="659"/>
      <c r="B10" s="979"/>
      <c r="C10" s="1060"/>
      <c r="D10" s="663"/>
      <c r="E10" s="979">
        <v>44716</v>
      </c>
      <c r="F10" s="1061">
        <v>100</v>
      </c>
      <c r="G10" s="1062">
        <v>1.5</v>
      </c>
      <c r="H10" s="1063"/>
      <c r="I10" s="1064"/>
      <c r="J10" s="979"/>
      <c r="K10" s="1065"/>
      <c r="L10" s="1066"/>
      <c r="M10" s="982"/>
      <c r="N10" s="1061"/>
      <c r="O10" s="1067"/>
      <c r="P10" s="1060"/>
      <c r="Q10" s="1070">
        <v>30</v>
      </c>
      <c r="R10" s="1068">
        <v>44734</v>
      </c>
      <c r="S10" s="1069"/>
      <c r="T10" s="1068"/>
      <c r="U10" s="1070"/>
      <c r="V10" s="1068"/>
      <c r="W10" s="1050"/>
      <c r="X10" s="938"/>
      <c r="Y10" s="991"/>
      <c r="Z10" s="938"/>
      <c r="AA10" s="986"/>
      <c r="AB10" s="1071"/>
      <c r="AC10" s="1050"/>
      <c r="AD10" s="1071"/>
      <c r="AE10" s="994"/>
      <c r="AF10" s="1073">
        <v>44728</v>
      </c>
      <c r="AG10" s="963">
        <v>1000</v>
      </c>
      <c r="AH10" s="614" t="s">
        <v>526</v>
      </c>
      <c r="AI10" s="1096" t="s">
        <v>525</v>
      </c>
    </row>
    <row r="11" spans="1:37" x14ac:dyDescent="0.25">
      <c r="A11" s="659"/>
      <c r="B11" s="979"/>
      <c r="C11" s="1060"/>
      <c r="D11" s="618">
        <v>170.46</v>
      </c>
      <c r="E11" s="979">
        <v>44722</v>
      </c>
      <c r="F11" s="1061"/>
      <c r="G11" s="1062">
        <v>1.5</v>
      </c>
      <c r="H11" s="1063"/>
      <c r="I11" s="1064"/>
      <c r="J11" s="979"/>
      <c r="K11" s="1065"/>
      <c r="L11" s="1066"/>
      <c r="M11" s="982"/>
      <c r="N11" s="1061"/>
      <c r="O11" s="1067"/>
      <c r="P11" s="1060"/>
      <c r="Q11" s="1070">
        <v>50</v>
      </c>
      <c r="R11" s="1068">
        <v>44736</v>
      </c>
      <c r="S11" s="1069"/>
      <c r="T11" s="1068"/>
      <c r="U11" s="1070"/>
      <c r="V11" s="1068"/>
      <c r="W11" s="1050"/>
      <c r="X11" s="938"/>
      <c r="Y11" s="991"/>
      <c r="Z11" s="938"/>
      <c r="AA11" s="986"/>
      <c r="AB11" s="1071"/>
      <c r="AC11" s="1050"/>
      <c r="AD11" s="1071"/>
      <c r="AE11" s="994"/>
      <c r="AF11" s="1073">
        <v>44734</v>
      </c>
      <c r="AG11" s="963">
        <v>500</v>
      </c>
      <c r="AH11" s="610" t="s">
        <v>517</v>
      </c>
      <c r="AI11" s="1104">
        <f>S44+'03cash22'!S37</f>
        <v>400</v>
      </c>
    </row>
    <row r="12" spans="1:37" x14ac:dyDescent="0.25">
      <c r="A12" s="659"/>
      <c r="B12" s="979"/>
      <c r="C12" s="1060"/>
      <c r="D12" s="663"/>
      <c r="E12" s="979">
        <v>44728</v>
      </c>
      <c r="F12" s="1061">
        <v>100</v>
      </c>
      <c r="G12" s="1062">
        <v>1.5</v>
      </c>
      <c r="H12" s="1063"/>
      <c r="I12" s="1064"/>
      <c r="J12" s="979"/>
      <c r="K12" s="1065"/>
      <c r="L12" s="1066"/>
      <c r="M12" s="982"/>
      <c r="N12" s="1061"/>
      <c r="O12" s="1067"/>
      <c r="P12" s="1060"/>
      <c r="Q12" s="1062"/>
      <c r="R12" s="1068"/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073">
        <v>44736</v>
      </c>
      <c r="AG12" s="963">
        <v>1000</v>
      </c>
      <c r="AH12" s="610" t="s">
        <v>497</v>
      </c>
      <c r="AI12" s="1104">
        <f>Y50+'03cash22'!Y43</f>
        <v>100</v>
      </c>
    </row>
    <row r="13" spans="1:37" x14ac:dyDescent="0.25">
      <c r="A13" s="659"/>
      <c r="B13" s="979"/>
      <c r="C13" s="1060"/>
      <c r="D13" s="663"/>
      <c r="E13" s="979">
        <v>44729</v>
      </c>
      <c r="F13" s="1061">
        <v>150</v>
      </c>
      <c r="G13" s="1062">
        <v>1.5</v>
      </c>
      <c r="H13" s="1063"/>
      <c r="I13" s="1064"/>
      <c r="J13" s="979"/>
      <c r="K13" s="1065"/>
      <c r="L13" s="1066"/>
      <c r="M13" s="982"/>
      <c r="N13" s="1061"/>
      <c r="O13" s="1067"/>
      <c r="P13" s="1060"/>
      <c r="Q13" s="1062"/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>
        <v>44736</v>
      </c>
      <c r="AG13" s="963">
        <v>1000</v>
      </c>
      <c r="AH13" s="610" t="s">
        <v>518</v>
      </c>
      <c r="AI13" s="1104">
        <f>Q44+'03cash22'!Q37</f>
        <v>300</v>
      </c>
    </row>
    <row r="14" spans="1:37" x14ac:dyDescent="0.25">
      <c r="A14" s="681"/>
      <c r="B14" s="979"/>
      <c r="C14" s="946"/>
      <c r="D14" s="663">
        <v>176.01</v>
      </c>
      <c r="E14" s="979">
        <v>44736</v>
      </c>
      <c r="F14" s="1061"/>
      <c r="G14" s="976">
        <v>1.5</v>
      </c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/>
      <c r="X14" s="938"/>
      <c r="Y14" s="990"/>
      <c r="Z14" s="938"/>
      <c r="AA14" s="976"/>
      <c r="AB14" s="938"/>
      <c r="AC14" s="991"/>
      <c r="AD14" s="938"/>
      <c r="AE14" s="994"/>
      <c r="AF14" s="997"/>
      <c r="AG14" s="963"/>
      <c r="AH14" s="610" t="s">
        <v>519</v>
      </c>
      <c r="AI14" s="547">
        <f>W44+'03cash22'!W37</f>
        <v>100</v>
      </c>
    </row>
    <row r="15" spans="1:37" ht="18.75" x14ac:dyDescent="0.25">
      <c r="A15" s="681"/>
      <c r="B15" s="979"/>
      <c r="C15" s="946"/>
      <c r="D15" s="663"/>
      <c r="E15" s="979">
        <v>44737</v>
      </c>
      <c r="F15" s="1061">
        <v>43.51</v>
      </c>
      <c r="G15" s="976">
        <v>1.5</v>
      </c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986"/>
      <c r="V15" s="938"/>
      <c r="W15" s="990"/>
      <c r="X15" s="938"/>
      <c r="Y15" s="1053" t="s">
        <v>496</v>
      </c>
      <c r="Z15" s="1054" t="s">
        <v>47</v>
      </c>
      <c r="AA15" s="1056" t="s">
        <v>506</v>
      </c>
      <c r="AB15" s="1054" t="s">
        <v>47</v>
      </c>
      <c r="AC15" s="1055" t="s">
        <v>495</v>
      </c>
      <c r="AD15" s="1054" t="s">
        <v>47</v>
      </c>
      <c r="AE15" s="994"/>
      <c r="AF15" s="997"/>
      <c r="AG15" s="963"/>
      <c r="AH15" s="610" t="s">
        <v>495</v>
      </c>
      <c r="AI15" s="547">
        <f>AC47+'03cash22'!AA49</f>
        <v>700</v>
      </c>
    </row>
    <row r="16" spans="1:37" x14ac:dyDescent="0.25">
      <c r="A16" s="681"/>
      <c r="B16" s="979"/>
      <c r="C16" s="946"/>
      <c r="D16" s="663"/>
      <c r="E16" s="979">
        <v>44737</v>
      </c>
      <c r="F16" s="1061">
        <v>96.35</v>
      </c>
      <c r="G16" s="976">
        <v>1.5</v>
      </c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0"/>
      <c r="X16" s="938"/>
      <c r="Y16" s="1099">
        <v>100</v>
      </c>
      <c r="Z16" s="1098">
        <v>44698</v>
      </c>
      <c r="AA16" s="986"/>
      <c r="AB16" s="938"/>
      <c r="AC16" s="1099">
        <v>100</v>
      </c>
      <c r="AD16" s="1098">
        <v>44698</v>
      </c>
      <c r="AE16" s="994"/>
      <c r="AF16" s="997"/>
      <c r="AG16" s="963"/>
      <c r="AH16" s="610" t="s">
        <v>520</v>
      </c>
      <c r="AI16" s="547">
        <f>Y47+'03cash22'!Y40</f>
        <v>600</v>
      </c>
    </row>
    <row r="17" spans="1:35" x14ac:dyDescent="0.25">
      <c r="A17" s="659"/>
      <c r="B17" s="979"/>
      <c r="C17" s="1060"/>
      <c r="D17" s="663"/>
      <c r="E17" s="979"/>
      <c r="F17" s="1061"/>
      <c r="G17" s="1062">
        <v>1.5</v>
      </c>
      <c r="H17" s="1063"/>
      <c r="I17" s="1064"/>
      <c r="J17" s="979"/>
      <c r="K17" s="1065"/>
      <c r="L17" s="1066"/>
      <c r="M17" s="982"/>
      <c r="N17" s="1061"/>
      <c r="O17" s="1067"/>
      <c r="P17" s="1060"/>
      <c r="Q17" s="1062"/>
      <c r="R17" s="1068"/>
      <c r="S17" s="1069"/>
      <c r="T17" s="1068"/>
      <c r="U17" s="1070"/>
      <c r="V17" s="1068"/>
      <c r="W17" s="1050"/>
      <c r="X17" s="938"/>
      <c r="Y17" s="1099">
        <v>100</v>
      </c>
      <c r="Z17" s="1098">
        <v>44702</v>
      </c>
      <c r="AA17" s="986"/>
      <c r="AB17" s="1071"/>
      <c r="AC17" s="1100">
        <v>100</v>
      </c>
      <c r="AD17" s="1101">
        <v>44704</v>
      </c>
      <c r="AE17" s="1072"/>
      <c r="AF17" s="1073"/>
      <c r="AG17" s="963"/>
      <c r="AH17" s="610" t="s">
        <v>491</v>
      </c>
      <c r="AI17" s="547">
        <f>AA50+'03cash22'!AA43</f>
        <v>1030</v>
      </c>
    </row>
    <row r="18" spans="1:35" x14ac:dyDescent="0.25">
      <c r="A18" s="659"/>
      <c r="B18" s="979"/>
      <c r="C18" s="1060"/>
      <c r="D18" s="663"/>
      <c r="E18" s="979"/>
      <c r="F18" s="1061"/>
      <c r="G18" s="1062">
        <v>1.5</v>
      </c>
      <c r="H18" s="1063"/>
      <c r="I18" s="1064"/>
      <c r="J18" s="979"/>
      <c r="K18" s="1065"/>
      <c r="L18" s="1066"/>
      <c r="M18" s="982"/>
      <c r="N18" s="1061"/>
      <c r="O18" s="1067"/>
      <c r="P18" s="1060"/>
      <c r="Q18" s="1062"/>
      <c r="R18" s="1068"/>
      <c r="S18" s="1069"/>
      <c r="T18" s="1068"/>
      <c r="U18" s="1070"/>
      <c r="V18" s="1068"/>
      <c r="W18" s="1050"/>
      <c r="X18" s="938"/>
      <c r="Y18" s="1099">
        <v>100</v>
      </c>
      <c r="Z18" s="1098">
        <v>44708</v>
      </c>
      <c r="AA18" s="986"/>
      <c r="AB18" s="1071"/>
      <c r="AC18" s="1100">
        <v>100</v>
      </c>
      <c r="AD18" s="1101">
        <v>44708</v>
      </c>
      <c r="AE18" s="1072"/>
      <c r="AF18" s="1073"/>
      <c r="AG18" s="963"/>
      <c r="AH18" s="610" t="s">
        <v>521</v>
      </c>
      <c r="AI18" s="547">
        <f>AA44+'03cash22'!AA37</f>
        <v>150</v>
      </c>
    </row>
    <row r="19" spans="1:35" x14ac:dyDescent="0.25">
      <c r="A19" s="659"/>
      <c r="B19" s="979"/>
      <c r="C19" s="1060"/>
      <c r="D19" s="618"/>
      <c r="E19" s="979"/>
      <c r="F19" s="1061"/>
      <c r="G19" s="1062">
        <v>1.5</v>
      </c>
      <c r="H19" s="1063"/>
      <c r="I19" s="1064"/>
      <c r="J19" s="979"/>
      <c r="K19" s="1065"/>
      <c r="L19" s="1066"/>
      <c r="M19" s="982"/>
      <c r="N19" s="1061"/>
      <c r="O19" s="1067"/>
      <c r="P19" s="1060"/>
      <c r="Q19" s="1062"/>
      <c r="R19" s="1068"/>
      <c r="S19" s="1069"/>
      <c r="T19" s="1068"/>
      <c r="U19" s="1070"/>
      <c r="V19" s="1068"/>
      <c r="W19" s="1050"/>
      <c r="X19" s="938"/>
      <c r="Y19" s="990">
        <v>100</v>
      </c>
      <c r="Z19" s="938">
        <v>44712</v>
      </c>
      <c r="AA19" s="986"/>
      <c r="AB19" s="1071"/>
      <c r="AC19" s="1051">
        <v>100</v>
      </c>
      <c r="AD19" s="1071">
        <v>44713</v>
      </c>
      <c r="AE19" s="1072"/>
      <c r="AF19" s="1073"/>
      <c r="AG19" s="963"/>
      <c r="AH19" s="610" t="s">
        <v>522</v>
      </c>
      <c r="AI19" s="547">
        <f>'03cash22'!AA40</f>
        <v>200</v>
      </c>
    </row>
    <row r="20" spans="1:35" x14ac:dyDescent="0.25">
      <c r="A20" s="681"/>
      <c r="B20" s="979"/>
      <c r="C20" s="946"/>
      <c r="D20" s="663"/>
      <c r="E20" s="979"/>
      <c r="F20" s="1061"/>
      <c r="G20" s="976">
        <v>1.5</v>
      </c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0"/>
      <c r="X20" s="938"/>
      <c r="Y20" s="990">
        <v>100</v>
      </c>
      <c r="Z20" s="938">
        <v>44716</v>
      </c>
      <c r="AA20" s="986"/>
      <c r="AB20" s="938"/>
      <c r="AC20" s="990">
        <v>100</v>
      </c>
      <c r="AD20" s="938">
        <v>44716</v>
      </c>
      <c r="AE20" s="994"/>
      <c r="AF20" s="997"/>
      <c r="AG20" s="963"/>
      <c r="AH20" s="610" t="s">
        <v>523</v>
      </c>
      <c r="AI20" s="547">
        <f>'03cash22'!AA46</f>
        <v>100</v>
      </c>
    </row>
    <row r="21" spans="1:35" x14ac:dyDescent="0.25">
      <c r="A21" s="681"/>
      <c r="B21" s="979"/>
      <c r="C21" s="946"/>
      <c r="D21" s="663"/>
      <c r="E21" s="979"/>
      <c r="F21" s="1061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0"/>
      <c r="X21" s="938"/>
      <c r="Y21" s="990">
        <v>100</v>
      </c>
      <c r="Z21" s="938">
        <v>44722</v>
      </c>
      <c r="AA21" s="986"/>
      <c r="AB21" s="938"/>
      <c r="AC21" s="990">
        <v>100</v>
      </c>
      <c r="AD21" s="938">
        <v>44721</v>
      </c>
      <c r="AE21" s="994"/>
      <c r="AF21" s="997"/>
      <c r="AG21" s="953"/>
      <c r="AH21" s="610" t="s">
        <v>524</v>
      </c>
      <c r="AI21" s="547">
        <f>'03cash22'!AC12</f>
        <v>60</v>
      </c>
    </row>
    <row r="22" spans="1:35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953"/>
      <c r="AH22" s="610" t="s">
        <v>469</v>
      </c>
      <c r="AI22" s="547">
        <f>'03cash22'!AC37</f>
        <v>50</v>
      </c>
    </row>
    <row r="23" spans="1:35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953"/>
      <c r="AH23" s="610"/>
    </row>
    <row r="24" spans="1:35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53"/>
      <c r="AH24" s="610"/>
    </row>
    <row r="25" spans="1:35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53"/>
      <c r="AH25" s="610"/>
    </row>
    <row r="26" spans="1:35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53"/>
      <c r="AH26" s="610"/>
    </row>
    <row r="27" spans="1:35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53"/>
      <c r="AH27" s="614"/>
    </row>
    <row r="28" spans="1:35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055" t="s">
        <v>406</v>
      </c>
      <c r="Z28" s="1054" t="s">
        <v>47</v>
      </c>
      <c r="AA28" s="1057" t="s">
        <v>491</v>
      </c>
      <c r="AB28" s="1054" t="s">
        <v>47</v>
      </c>
      <c r="AC28" s="1055" t="s">
        <v>506</v>
      </c>
      <c r="AD28" s="1054" t="s">
        <v>47</v>
      </c>
      <c r="AE28" s="994"/>
      <c r="AF28" s="997"/>
      <c r="AG28" s="953"/>
      <c r="AH28" s="614"/>
    </row>
    <row r="29" spans="1:35" x14ac:dyDescent="0.25">
      <c r="A29" s="681"/>
      <c r="B29" s="979"/>
      <c r="C29" s="946"/>
      <c r="D29" s="618"/>
      <c r="E29" s="979"/>
      <c r="F29" s="953"/>
      <c r="G29" s="976"/>
      <c r="H29" s="953"/>
      <c r="I29" s="618"/>
      <c r="J29" s="979"/>
      <c r="K29" s="953"/>
      <c r="L29" s="960"/>
      <c r="M29" s="982"/>
      <c r="N29" s="953"/>
      <c r="O29" s="976"/>
      <c r="P29" s="946"/>
      <c r="Q29" s="986"/>
      <c r="R29" s="938"/>
      <c r="S29" s="976"/>
      <c r="T29" s="938"/>
      <c r="U29" s="986"/>
      <c r="V29" s="938"/>
      <c r="W29" s="991"/>
      <c r="X29" s="938"/>
      <c r="Y29" s="990">
        <v>100</v>
      </c>
      <c r="Z29" s="938">
        <v>44721</v>
      </c>
      <c r="AA29" s="1097">
        <v>100</v>
      </c>
      <c r="AB29" s="1098">
        <v>44699</v>
      </c>
      <c r="AC29" s="991"/>
      <c r="AD29" s="938"/>
      <c r="AE29" s="994"/>
      <c r="AF29" s="997"/>
      <c r="AG29" s="953"/>
      <c r="AH29" s="614"/>
    </row>
    <row r="30" spans="1:35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1097">
        <v>100</v>
      </c>
      <c r="AB30" s="1098">
        <v>44704</v>
      </c>
      <c r="AC30" s="991"/>
      <c r="AD30" s="938"/>
      <c r="AE30" s="994"/>
      <c r="AF30" s="997"/>
      <c r="AG30" s="953"/>
      <c r="AH30" s="614"/>
    </row>
    <row r="31" spans="1:35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1097">
        <v>100</v>
      </c>
      <c r="AB31" s="1098">
        <v>44706</v>
      </c>
      <c r="AC31" s="991"/>
      <c r="AD31" s="938"/>
      <c r="AE31" s="994"/>
      <c r="AF31" s="997"/>
      <c r="AG31" s="953"/>
      <c r="AH31" s="614"/>
    </row>
    <row r="32" spans="1:35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1097">
        <v>100</v>
      </c>
      <c r="AB32" s="1098">
        <v>44709</v>
      </c>
      <c r="AC32" s="991"/>
      <c r="AD32" s="938"/>
      <c r="AE32" s="994"/>
      <c r="AF32" s="997"/>
      <c r="AG32" s="95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86">
        <v>100</v>
      </c>
      <c r="AB33" s="938">
        <v>44712</v>
      </c>
      <c r="AC33" s="991"/>
      <c r="AD33" s="938"/>
      <c r="AE33" s="994"/>
      <c r="AF33" s="997"/>
      <c r="AG33" s="95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86">
        <v>200</v>
      </c>
      <c r="AB34" s="938">
        <v>44716</v>
      </c>
      <c r="AC34" s="991"/>
      <c r="AD34" s="938"/>
      <c r="AE34" s="994"/>
      <c r="AF34" s="997"/>
      <c r="AG34" s="95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86">
        <v>200</v>
      </c>
      <c r="AB35" s="938">
        <v>44723</v>
      </c>
      <c r="AC35" s="991"/>
      <c r="AD35" s="938"/>
      <c r="AE35" s="994"/>
      <c r="AF35" s="997"/>
      <c r="AG35" s="95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5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76"/>
      <c r="AB37" s="938"/>
      <c r="AC37" s="991"/>
      <c r="AD37" s="938"/>
      <c r="AE37" s="994"/>
      <c r="AF37" s="997"/>
      <c r="AG37" s="95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5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86"/>
      <c r="AB39" s="938"/>
      <c r="AC39" s="991"/>
      <c r="AD39" s="938"/>
      <c r="AE39" s="994"/>
      <c r="AF39" s="997"/>
      <c r="AG39" s="95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53"/>
      <c r="AH40" s="614"/>
    </row>
    <row r="41" spans="1:34" ht="15.75" thickBot="1" x14ac:dyDescent="0.3">
      <c r="A41" s="682"/>
      <c r="B41" s="1000"/>
      <c r="C41" s="948"/>
      <c r="D41" s="675"/>
      <c r="E41" s="999"/>
      <c r="F41" s="954"/>
      <c r="G41" s="977"/>
      <c r="H41" s="954"/>
      <c r="I41" s="624"/>
      <c r="J41" s="980"/>
      <c r="K41" s="958"/>
      <c r="L41" s="961"/>
      <c r="M41" s="983"/>
      <c r="N41" s="954"/>
      <c r="O41" s="985"/>
      <c r="P41" s="947"/>
      <c r="Q41" s="987"/>
      <c r="R41" s="939"/>
      <c r="S41" s="988"/>
      <c r="T41" s="940"/>
      <c r="U41" s="987"/>
      <c r="V41" s="939"/>
      <c r="W41" s="992"/>
      <c r="X41" s="939"/>
      <c r="Y41" s="992"/>
      <c r="Z41" s="939"/>
      <c r="AA41" s="987"/>
      <c r="AB41" s="939"/>
      <c r="AC41" s="992"/>
      <c r="AD41" s="939"/>
      <c r="AE41" s="995"/>
      <c r="AF41" s="998"/>
      <c r="AG41" s="954"/>
      <c r="AH41" s="614"/>
    </row>
    <row r="42" spans="1:34" ht="15.75" thickBot="1" x14ac:dyDescent="0.3">
      <c r="A42" s="1285" t="s">
        <v>102</v>
      </c>
      <c r="B42" s="1284"/>
      <c r="C42" s="1277"/>
      <c r="D42" s="669" t="s">
        <v>103</v>
      </c>
      <c r="E42" s="669" t="s">
        <v>61</v>
      </c>
      <c r="F42" s="955" t="s">
        <v>103</v>
      </c>
      <c r="G42" s="1276" t="s">
        <v>103</v>
      </c>
      <c r="H42" s="1277"/>
      <c r="I42" s="1286" t="s">
        <v>102</v>
      </c>
      <c r="J42" s="1287"/>
      <c r="K42" s="1288"/>
      <c r="L42" s="1283" t="s">
        <v>102</v>
      </c>
      <c r="M42" s="1284"/>
      <c r="N42" s="1277"/>
      <c r="O42" s="1286" t="s">
        <v>104</v>
      </c>
      <c r="P42" s="1288"/>
      <c r="Q42" s="1276" t="s">
        <v>104</v>
      </c>
      <c r="R42" s="1277"/>
      <c r="S42" s="1276" t="s">
        <v>104</v>
      </c>
      <c r="T42" s="1277"/>
      <c r="U42" s="1276" t="s">
        <v>104</v>
      </c>
      <c r="V42" s="1277"/>
      <c r="W42" s="1276" t="s">
        <v>104</v>
      </c>
      <c r="X42" s="1277"/>
      <c r="Y42" s="1276" t="s">
        <v>104</v>
      </c>
      <c r="Z42" s="1277"/>
      <c r="AA42" s="1276" t="s">
        <v>102</v>
      </c>
      <c r="AB42" s="1277"/>
      <c r="AC42" s="1276" t="s">
        <v>102</v>
      </c>
      <c r="AD42" s="1277"/>
      <c r="AE42" s="1283" t="s">
        <v>102</v>
      </c>
      <c r="AF42" s="1284"/>
      <c r="AG42" s="1277"/>
      <c r="AH42" s="614"/>
    </row>
    <row r="43" spans="1:34" x14ac:dyDescent="0.25">
      <c r="A43" s="872">
        <f>SUM(A3:A41)</f>
        <v>7057.7</v>
      </c>
      <c r="B43" s="626"/>
      <c r="C43" s="949">
        <f>SUM(C3:C41)</f>
        <v>0</v>
      </c>
      <c r="D43" s="950">
        <f>SUM(D3:D41)</f>
        <v>730.99</v>
      </c>
      <c r="E43" s="629">
        <v>0</v>
      </c>
      <c r="F43" s="956">
        <f>SUM(F3:F41)</f>
        <v>799.88</v>
      </c>
      <c r="G43" s="950">
        <f>SUM(G3:G41)</f>
        <v>39.6</v>
      </c>
      <c r="H43" s="956">
        <f>SUM(H3:H41)</f>
        <v>14.3</v>
      </c>
      <c r="I43" s="936">
        <f>SUM(I3:I41)</f>
        <v>0</v>
      </c>
      <c r="J43" s="629"/>
      <c r="K43" s="957">
        <f>SUM(K3:K41)</f>
        <v>0</v>
      </c>
      <c r="L43" s="962">
        <f>SUM(L3:L41)</f>
        <v>0</v>
      </c>
      <c r="M43" s="873" t="s">
        <v>49</v>
      </c>
      <c r="N43" s="956" t="s">
        <v>46</v>
      </c>
      <c r="O43" s="1045">
        <f>O3+O5</f>
        <v>1527.8600000000006</v>
      </c>
      <c r="P43" s="1078" t="s">
        <v>395</v>
      </c>
      <c r="Q43" s="1045">
        <f>SUM(Q3:Q41)</f>
        <v>650</v>
      </c>
      <c r="R43" s="1078" t="str">
        <f>Q2</f>
        <v>Ondra</v>
      </c>
      <c r="S43" s="1045">
        <f>SUM(S3:S41)</f>
        <v>355</v>
      </c>
      <c r="T43" s="1105" t="str">
        <f>S2</f>
        <v>Zoulič</v>
      </c>
      <c r="U43" s="1045">
        <f>SUM(U3:U41)</f>
        <v>2000</v>
      </c>
      <c r="V43" s="1078" t="str">
        <f>U2</f>
        <v>Tadeáš Gruss</v>
      </c>
      <c r="W43" s="1045">
        <f>SUM(W3:W41)</f>
        <v>400</v>
      </c>
      <c r="X43" s="1078" t="str">
        <f>W2</f>
        <v>Jícha</v>
      </c>
      <c r="Y43" s="1045">
        <f>SUM(Y3:Y14)</f>
        <v>100</v>
      </c>
      <c r="Z43" s="1078" t="str">
        <f>Y2</f>
        <v>Lukáš Lang</v>
      </c>
      <c r="AA43" s="1045">
        <f>SUM(AA3:AA14)</f>
        <v>250</v>
      </c>
      <c r="AB43" s="1078" t="str">
        <f>AA2</f>
        <v>Chrastina</v>
      </c>
      <c r="AC43" s="1045">
        <f>SUM(AC3:AC14)</f>
        <v>0</v>
      </c>
      <c r="AD43" s="1078" t="str">
        <f>AC2</f>
        <v>Bečka</v>
      </c>
      <c r="AE43" s="962">
        <f>SUM(AE3:AE41)</f>
        <v>0</v>
      </c>
      <c r="AF43" s="629"/>
      <c r="AG43" s="957">
        <f>SUM(AG3:AG41)</f>
        <v>8540</v>
      </c>
      <c r="AH43" s="614"/>
    </row>
    <row r="44" spans="1:34" x14ac:dyDescent="0.25">
      <c r="A44" s="634"/>
      <c r="B44" s="635"/>
      <c r="C44" s="935"/>
      <c r="D44" s="951"/>
      <c r="E44" s="635"/>
      <c r="F44" s="935"/>
      <c r="G44" s="951"/>
      <c r="H44" s="935"/>
      <c r="I44" s="951"/>
      <c r="J44" s="635"/>
      <c r="K44" s="935"/>
      <c r="L44" s="951"/>
      <c r="M44" s="1058">
        <f>N7+N5+N8</f>
        <v>67.66</v>
      </c>
      <c r="N44" s="1059">
        <f>N3+N4+N6</f>
        <v>759.8</v>
      </c>
      <c r="O44" s="1023">
        <v>0</v>
      </c>
      <c r="P44" s="935" t="s">
        <v>505</v>
      </c>
      <c r="Q44" s="1023">
        <v>100</v>
      </c>
      <c r="R44" s="935" t="s">
        <v>354</v>
      </c>
      <c r="S44" s="1023">
        <v>300</v>
      </c>
      <c r="T44" s="935" t="s">
        <v>354</v>
      </c>
      <c r="U44" s="1023">
        <v>0</v>
      </c>
      <c r="V44" s="935" t="s">
        <v>354</v>
      </c>
      <c r="W44" s="1024">
        <v>0</v>
      </c>
      <c r="X44" s="935" t="s">
        <v>354</v>
      </c>
      <c r="Y44" s="1024">
        <v>0</v>
      </c>
      <c r="Z44" s="935" t="s">
        <v>354</v>
      </c>
      <c r="AA44" s="1024">
        <v>100</v>
      </c>
      <c r="AB44" s="935" t="s">
        <v>354</v>
      </c>
      <c r="AC44" s="1024">
        <v>0</v>
      </c>
      <c r="AD44" s="935" t="s">
        <v>354</v>
      </c>
      <c r="AE44" s="951"/>
      <c r="AF44" s="635"/>
      <c r="AG44" s="935"/>
      <c r="AH44" s="614"/>
    </row>
    <row r="45" spans="1:34" ht="15.75" thickBot="1" x14ac:dyDescent="0.3">
      <c r="A45" s="969"/>
      <c r="B45" s="970"/>
      <c r="C45" s="971"/>
      <c r="D45" s="972"/>
      <c r="E45" s="970"/>
      <c r="F45" s="971"/>
      <c r="G45" s="972"/>
      <c r="H45" s="971"/>
      <c r="I45" s="972"/>
      <c r="J45" s="970"/>
      <c r="K45" s="971"/>
      <c r="L45" s="972"/>
      <c r="M45" s="970"/>
      <c r="N45" s="971"/>
      <c r="O45" s="973">
        <f>O43-O44</f>
        <v>1527.8600000000006</v>
      </c>
      <c r="P45" s="971" t="s">
        <v>416</v>
      </c>
      <c r="Q45" s="973">
        <f>Q43-Q44</f>
        <v>550</v>
      </c>
      <c r="R45" s="971" t="s">
        <v>505</v>
      </c>
      <c r="S45" s="973">
        <f>S43-S44</f>
        <v>55</v>
      </c>
      <c r="T45" s="971" t="s">
        <v>505</v>
      </c>
      <c r="U45" s="973">
        <f>U43-U44</f>
        <v>2000</v>
      </c>
      <c r="V45" s="971" t="s">
        <v>505</v>
      </c>
      <c r="W45" s="974">
        <f>W43-W44</f>
        <v>400</v>
      </c>
      <c r="X45" s="971" t="s">
        <v>505</v>
      </c>
      <c r="Y45" s="974">
        <f>Y43-Y44</f>
        <v>100</v>
      </c>
      <c r="Z45" s="971" t="s">
        <v>505</v>
      </c>
      <c r="AA45" s="974">
        <f>AA43-AA44</f>
        <v>150</v>
      </c>
      <c r="AB45" s="971" t="s">
        <v>505</v>
      </c>
      <c r="AC45" s="1022">
        <f>AC43-AC44</f>
        <v>0</v>
      </c>
      <c r="AD45" s="971" t="s">
        <v>505</v>
      </c>
      <c r="AE45" s="972"/>
      <c r="AF45" s="970"/>
      <c r="AG45" s="971"/>
      <c r="AH45" s="614"/>
    </row>
    <row r="46" spans="1:34" ht="15.75" thickTop="1" x14ac:dyDescent="0.25">
      <c r="A46" s="610"/>
      <c r="B46" s="610"/>
      <c r="C46" s="610"/>
      <c r="D46" s="610"/>
      <c r="E46" s="610"/>
      <c r="F46" s="610"/>
      <c r="G46" s="610"/>
      <c r="H46" s="610"/>
      <c r="I46" s="610"/>
      <c r="J46" s="610"/>
      <c r="K46" s="610"/>
      <c r="L46" s="610"/>
      <c r="M46" s="610"/>
      <c r="N46" s="610"/>
      <c r="O46" s="610"/>
      <c r="P46" s="610"/>
      <c r="Q46" s="1030"/>
      <c r="R46" s="1031"/>
      <c r="S46" s="1032"/>
      <c r="T46" s="610"/>
      <c r="U46" s="610"/>
      <c r="V46" s="610"/>
      <c r="W46" s="610"/>
      <c r="X46" s="610"/>
      <c r="Y46" s="1074">
        <f>SUM(Y16:Y27)</f>
        <v>600</v>
      </c>
      <c r="Z46" s="1046" t="str">
        <f>Y15</f>
        <v>Saša</v>
      </c>
      <c r="AA46" s="1045">
        <f>SUM(AA16:AA27)</f>
        <v>0</v>
      </c>
      <c r="AB46" s="1046" t="str">
        <f>AA15</f>
        <v>Xxx</v>
      </c>
      <c r="AC46" s="1045">
        <f>SUM(AC16:AC27)</f>
        <v>600</v>
      </c>
      <c r="AD46" s="1078" t="str">
        <f>AC15</f>
        <v>Erik Maloň</v>
      </c>
      <c r="AE46" s="610"/>
      <c r="AF46" s="610"/>
      <c r="AG46" s="610"/>
    </row>
    <row r="47" spans="1:34" x14ac:dyDescent="0.25">
      <c r="Q47" s="1033"/>
      <c r="R47" s="1034"/>
      <c r="S47" s="1035"/>
      <c r="X47" s="610"/>
      <c r="Y47" s="1076">
        <v>400</v>
      </c>
      <c r="Z47" s="935" t="s">
        <v>354</v>
      </c>
      <c r="AA47" s="1024">
        <v>0</v>
      </c>
      <c r="AB47" s="935" t="s">
        <v>354</v>
      </c>
      <c r="AC47" s="1024">
        <v>300</v>
      </c>
      <c r="AD47" s="935" t="s">
        <v>354</v>
      </c>
    </row>
    <row r="48" spans="1:34" ht="15.75" thickBot="1" x14ac:dyDescent="0.3">
      <c r="Q48" s="1033"/>
      <c r="R48" s="1034"/>
      <c r="S48" s="1035"/>
      <c r="X48" s="610"/>
      <c r="Y48" s="1077">
        <f>Y46-Y47</f>
        <v>200</v>
      </c>
      <c r="Z48" s="971" t="s">
        <v>505</v>
      </c>
      <c r="AA48" s="974">
        <f>AA46-AA47</f>
        <v>0</v>
      </c>
      <c r="AB48" s="971" t="s">
        <v>505</v>
      </c>
      <c r="AC48" s="974">
        <f>AC46-AC47</f>
        <v>300</v>
      </c>
      <c r="AD48" s="971" t="s">
        <v>505</v>
      </c>
    </row>
    <row r="49" spans="17:31" ht="15.75" thickTop="1" x14ac:dyDescent="0.25">
      <c r="Q49" s="1033"/>
      <c r="R49" s="1034"/>
      <c r="S49" s="1035"/>
      <c r="X49" s="610"/>
      <c r="Y49" s="1074">
        <f>SUM(Y29:Y41)</f>
        <v>100</v>
      </c>
      <c r="Z49" s="1046" t="str">
        <f>Y28</f>
        <v>Šimon</v>
      </c>
      <c r="AA49" s="1045">
        <f>SUM(AA29:AA41)</f>
        <v>900</v>
      </c>
      <c r="AB49" s="1046" t="str">
        <f>AA28</f>
        <v>David Kazda</v>
      </c>
      <c r="AC49" s="1045">
        <f>SUM(AC29:AC41)</f>
        <v>0</v>
      </c>
      <c r="AD49" s="1075" t="str">
        <f>AC28</f>
        <v>Xxx</v>
      </c>
      <c r="AE49" s="610"/>
    </row>
    <row r="50" spans="17:31" x14ac:dyDescent="0.25">
      <c r="Q50" s="1033"/>
      <c r="R50" s="1033"/>
      <c r="S50" s="1035"/>
      <c r="X50" s="610"/>
      <c r="Y50" s="1076">
        <v>0</v>
      </c>
      <c r="Z50" s="935" t="s">
        <v>354</v>
      </c>
      <c r="AA50" s="1024">
        <v>500</v>
      </c>
      <c r="AB50" s="935" t="s">
        <v>354</v>
      </c>
      <c r="AC50" s="1024">
        <v>0</v>
      </c>
      <c r="AD50" s="935" t="s">
        <v>354</v>
      </c>
    </row>
    <row r="51" spans="17:31" ht="15.75" thickBot="1" x14ac:dyDescent="0.3">
      <c r="Q51" s="1036"/>
      <c r="R51" s="1034"/>
      <c r="S51" s="1035"/>
      <c r="X51" s="610"/>
      <c r="Y51" s="1077">
        <f>Y49-Y50</f>
        <v>100</v>
      </c>
      <c r="Z51" s="971" t="s">
        <v>505</v>
      </c>
      <c r="AA51" s="974">
        <f>AA49-AA50</f>
        <v>400</v>
      </c>
      <c r="AB51" s="971" t="s">
        <v>505</v>
      </c>
      <c r="AC51" s="974">
        <f>AC49-AC50</f>
        <v>0</v>
      </c>
      <c r="AD51" s="971" t="s">
        <v>505</v>
      </c>
    </row>
    <row r="52" spans="17:31" ht="15.75" thickTop="1" x14ac:dyDescent="0.25">
      <c r="Q52" s="1035"/>
      <c r="R52" s="1035"/>
      <c r="S52" s="1035"/>
    </row>
    <row r="53" spans="17:31" x14ac:dyDescent="0.25">
      <c r="Q53" s="1035"/>
      <c r="R53" s="1037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5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8"/>
      <c r="R58" s="1035"/>
      <c r="S58" s="1035"/>
    </row>
    <row r="59" spans="17:31" x14ac:dyDescent="0.25">
      <c r="Q59" s="1035"/>
      <c r="R59" s="1035"/>
      <c r="S59" s="1035"/>
    </row>
    <row r="60" spans="17:31" x14ac:dyDescent="0.25">
      <c r="R60" s="827"/>
    </row>
  </sheetData>
  <mergeCells count="25">
    <mergeCell ref="A42:C42"/>
    <mergeCell ref="G42:H42"/>
    <mergeCell ref="I42:K42"/>
    <mergeCell ref="L42:N42"/>
    <mergeCell ref="O42:P42"/>
    <mergeCell ref="Q42:R42"/>
    <mergeCell ref="AE1:AG1"/>
    <mergeCell ref="AH1:AI1"/>
    <mergeCell ref="AJ1:AK1"/>
    <mergeCell ref="AH4:AI4"/>
    <mergeCell ref="AJ4:AK4"/>
    <mergeCell ref="AH9:AI9"/>
    <mergeCell ref="Q1:AD1"/>
    <mergeCell ref="AE42:AG42"/>
    <mergeCell ref="S42:T42"/>
    <mergeCell ref="U42:V42"/>
    <mergeCell ref="W42:X42"/>
    <mergeCell ref="Y42:Z42"/>
    <mergeCell ref="AA42:AB42"/>
    <mergeCell ref="AC42:AD42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000"/>
  </sheetPr>
  <dimension ref="A1:AP102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" customHeight="1" x14ac:dyDescent="0.25"/>
  <cols>
    <col min="1" max="1" width="9.42578125" customWidth="1"/>
    <col min="2" max="2" width="7.7109375" customWidth="1"/>
    <col min="3" max="3" width="9.28515625" customWidth="1"/>
    <col min="4" max="5" width="8.28515625" customWidth="1"/>
    <col min="6" max="8" width="8" customWidth="1"/>
    <col min="9" max="9" width="8.28515625" customWidth="1"/>
    <col min="10" max="10" width="8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10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9.7109375" customWidth="1"/>
    <col min="21" max="21" width="8.28515625" customWidth="1"/>
    <col min="22" max="22" width="8" customWidth="1"/>
    <col min="23" max="25" width="8.28515625" customWidth="1"/>
    <col min="26" max="26" width="8" customWidth="1"/>
    <col min="27" max="27" width="8.28515625" customWidth="1"/>
    <col min="28" max="28" width="8" customWidth="1"/>
    <col min="29" max="29" width="9.28515625" customWidth="1"/>
    <col min="30" max="30" width="12.85546875" customWidth="1"/>
    <col min="31" max="31" width="12.7109375" customWidth="1"/>
    <col min="32" max="32" width="9.140625" customWidth="1"/>
    <col min="33" max="33" width="10.28515625" customWidth="1"/>
    <col min="34" max="34" width="14.28515625" customWidth="1"/>
    <col min="35" max="35" width="9.42578125" customWidth="1"/>
    <col min="36" max="36" width="12.42578125" customWidth="1"/>
    <col min="37" max="37" width="8.5703125" customWidth="1"/>
    <col min="38" max="38" width="11.28515625" customWidth="1"/>
    <col min="39" max="42" width="9.140625" customWidth="1"/>
  </cols>
  <sheetData>
    <row r="1" spans="1:42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33"/>
      <c r="Y1" s="1233"/>
      <c r="Z1" s="1220"/>
      <c r="AA1" s="1232" t="s">
        <v>43</v>
      </c>
      <c r="AB1" s="1233"/>
      <c r="AC1" s="1234"/>
      <c r="AD1" s="1219" t="s">
        <v>44</v>
      </c>
      <c r="AE1" s="1220"/>
      <c r="AF1" s="1243" t="s">
        <v>45</v>
      </c>
      <c r="AG1" s="1234"/>
      <c r="AH1" s="43"/>
      <c r="AI1" s="43"/>
      <c r="AJ1" s="44"/>
      <c r="AK1" s="44"/>
      <c r="AL1" s="44"/>
      <c r="AM1" s="44"/>
      <c r="AN1" s="43"/>
      <c r="AO1" s="43"/>
      <c r="AP1" s="43"/>
    </row>
    <row r="2" spans="1:42" ht="15.75" x14ac:dyDescent="0.25">
      <c r="A2" s="48" t="s">
        <v>46</v>
      </c>
      <c r="B2" s="276" t="s">
        <v>47</v>
      </c>
      <c r="C2" s="277" t="s">
        <v>48</v>
      </c>
      <c r="D2" s="48" t="s">
        <v>46</v>
      </c>
      <c r="E2" s="49" t="s">
        <v>47</v>
      </c>
      <c r="F2" s="276" t="s">
        <v>49</v>
      </c>
      <c r="G2" s="278" t="s">
        <v>49</v>
      </c>
      <c r="H2" s="279" t="s">
        <v>46</v>
      </c>
      <c r="I2" s="280" t="s">
        <v>49</v>
      </c>
      <c r="J2" s="281" t="s">
        <v>47</v>
      </c>
      <c r="K2" s="276" t="s">
        <v>46</v>
      </c>
      <c r="L2" s="280" t="s">
        <v>50</v>
      </c>
      <c r="M2" s="282" t="s">
        <v>51</v>
      </c>
      <c r="N2" s="276" t="s">
        <v>52</v>
      </c>
      <c r="O2" s="280" t="s">
        <v>53</v>
      </c>
      <c r="P2" s="277" t="s">
        <v>50</v>
      </c>
      <c r="Q2" s="283" t="s">
        <v>54</v>
      </c>
      <c r="R2" s="276" t="s">
        <v>47</v>
      </c>
      <c r="S2" s="283" t="s">
        <v>55</v>
      </c>
      <c r="T2" s="276" t="s">
        <v>47</v>
      </c>
      <c r="U2" s="283" t="s">
        <v>56</v>
      </c>
      <c r="V2" s="276" t="s">
        <v>47</v>
      </c>
      <c r="W2" s="45" t="s">
        <v>91</v>
      </c>
      <c r="X2" s="284" t="s">
        <v>47</v>
      </c>
      <c r="Y2" s="285" t="s">
        <v>117</v>
      </c>
      <c r="Z2" s="276" t="s">
        <v>47</v>
      </c>
      <c r="AA2" s="283" t="s">
        <v>50</v>
      </c>
      <c r="AB2" s="49" t="s">
        <v>13</v>
      </c>
      <c r="AC2" s="276" t="s">
        <v>52</v>
      </c>
      <c r="AD2" s="286" t="s">
        <v>50</v>
      </c>
      <c r="AE2" s="287" t="s">
        <v>52</v>
      </c>
      <c r="AF2" s="286" t="s">
        <v>50</v>
      </c>
      <c r="AG2" s="288" t="s">
        <v>52</v>
      </c>
      <c r="AJ2" s="30"/>
      <c r="AK2" s="30"/>
      <c r="AL2" s="30"/>
      <c r="AM2" s="30"/>
    </row>
    <row r="3" spans="1:42" x14ac:dyDescent="0.25">
      <c r="A3" s="289"/>
      <c r="B3" s="96"/>
      <c r="C3" s="290"/>
      <c r="D3" s="70">
        <v>87.64</v>
      </c>
      <c r="E3" s="71">
        <v>43904</v>
      </c>
      <c r="F3" s="72"/>
      <c r="G3" s="73">
        <v>12.09</v>
      </c>
      <c r="H3" s="74">
        <v>7</v>
      </c>
      <c r="I3" s="86">
        <v>200</v>
      </c>
      <c r="J3" s="76"/>
      <c r="K3" s="74"/>
      <c r="L3" s="291"/>
      <c r="M3" s="371" t="s">
        <v>118</v>
      </c>
      <c r="N3" s="372">
        <v>258.88</v>
      </c>
      <c r="O3" s="80">
        <f>AC27-AG6-AE3</f>
        <v>511.11000000000013</v>
      </c>
      <c r="P3" s="294">
        <f>AA27-AF6-AD3</f>
        <v>-119</v>
      </c>
      <c r="Q3" s="84"/>
      <c r="R3" s="83"/>
      <c r="S3" s="84">
        <v>100</v>
      </c>
      <c r="T3" s="85">
        <v>43910</v>
      </c>
      <c r="U3" s="86">
        <v>50</v>
      </c>
      <c r="V3" s="85">
        <v>43904</v>
      </c>
      <c r="W3" s="295">
        <v>100</v>
      </c>
      <c r="X3" s="296">
        <v>43913</v>
      </c>
      <c r="Y3" s="133">
        <v>200</v>
      </c>
      <c r="Z3" s="83"/>
      <c r="AA3" s="297"/>
      <c r="AB3" s="89" t="s">
        <v>119</v>
      </c>
      <c r="AC3" s="373">
        <v>130</v>
      </c>
      <c r="AD3" s="299">
        <v>0</v>
      </c>
      <c r="AE3" s="300">
        <v>250</v>
      </c>
      <c r="AF3" s="301">
        <f>AD6+AF6</f>
        <v>119</v>
      </c>
      <c r="AG3" s="302">
        <f>AG6+AE6</f>
        <v>3469.8199999999997</v>
      </c>
      <c r="AJ3" s="30"/>
      <c r="AK3" s="30"/>
      <c r="AL3" s="30"/>
    </row>
    <row r="4" spans="1:42" ht="18.75" x14ac:dyDescent="0.25">
      <c r="A4" s="303"/>
      <c r="B4" s="96"/>
      <c r="C4" s="304"/>
      <c r="D4" s="98">
        <v>95.94</v>
      </c>
      <c r="E4" s="71">
        <v>43905</v>
      </c>
      <c r="F4" s="99"/>
      <c r="G4" s="100">
        <v>1.1000000000000001</v>
      </c>
      <c r="H4" s="101">
        <v>6.1</v>
      </c>
      <c r="I4" s="102"/>
      <c r="J4" s="76"/>
      <c r="K4" s="101"/>
      <c r="L4" s="305"/>
      <c r="M4" s="374" t="s">
        <v>120</v>
      </c>
      <c r="N4" s="150">
        <v>41.66</v>
      </c>
      <c r="O4" s="1223" t="s">
        <v>61</v>
      </c>
      <c r="P4" s="1224"/>
      <c r="Q4" s="118"/>
      <c r="R4" s="83"/>
      <c r="S4" s="118">
        <v>100</v>
      </c>
      <c r="T4" s="85">
        <v>43927</v>
      </c>
      <c r="U4" s="108">
        <v>50</v>
      </c>
      <c r="V4" s="85">
        <v>43910</v>
      </c>
      <c r="W4" s="308">
        <v>100</v>
      </c>
      <c r="X4" s="83">
        <v>43920</v>
      </c>
      <c r="Y4" s="133">
        <v>10</v>
      </c>
      <c r="Z4" s="83"/>
      <c r="AA4" s="309"/>
      <c r="AB4" s="89">
        <v>43904</v>
      </c>
      <c r="AC4" s="329">
        <v>1000</v>
      </c>
      <c r="AD4" s="1238" t="s">
        <v>63</v>
      </c>
      <c r="AE4" s="1245"/>
      <c r="AF4" s="1246" t="s">
        <v>64</v>
      </c>
      <c r="AG4" s="1237"/>
      <c r="AJ4" s="30"/>
      <c r="AK4" s="112"/>
      <c r="AL4" s="30"/>
    </row>
    <row r="5" spans="1:42" ht="15.75" x14ac:dyDescent="0.25">
      <c r="A5" s="303"/>
      <c r="B5" s="96"/>
      <c r="C5" s="304"/>
      <c r="D5" s="98">
        <v>60</v>
      </c>
      <c r="E5" s="71">
        <v>43908</v>
      </c>
      <c r="F5" s="99"/>
      <c r="G5" s="100">
        <v>9.1</v>
      </c>
      <c r="H5" s="101">
        <v>3.6</v>
      </c>
      <c r="I5" s="102"/>
      <c r="J5" s="76"/>
      <c r="K5" s="101"/>
      <c r="L5" s="311">
        <v>119</v>
      </c>
      <c r="M5" s="330" t="s">
        <v>121</v>
      </c>
      <c r="N5" s="150"/>
      <c r="O5" s="1225">
        <f>AD9</f>
        <v>0</v>
      </c>
      <c r="P5" s="1226"/>
      <c r="Q5" s="118"/>
      <c r="R5" s="83"/>
      <c r="S5" s="118">
        <v>100</v>
      </c>
      <c r="T5" s="85">
        <v>43939</v>
      </c>
      <c r="U5" s="108">
        <v>50</v>
      </c>
      <c r="V5" s="85">
        <v>43913</v>
      </c>
      <c r="W5" s="308">
        <v>100</v>
      </c>
      <c r="X5" s="83">
        <v>43927</v>
      </c>
      <c r="Y5" s="133">
        <v>100</v>
      </c>
      <c r="Z5" s="83">
        <v>43943</v>
      </c>
      <c r="AA5" s="309"/>
      <c r="AB5" s="89">
        <v>43925</v>
      </c>
      <c r="AC5" s="329">
        <v>300</v>
      </c>
      <c r="AD5" s="119" t="s">
        <v>50</v>
      </c>
      <c r="AE5" s="313" t="s">
        <v>52</v>
      </c>
      <c r="AF5" s="121" t="s">
        <v>50</v>
      </c>
      <c r="AG5" s="122" t="s">
        <v>52</v>
      </c>
      <c r="AJ5" s="30"/>
      <c r="AK5" s="112"/>
      <c r="AL5" s="30"/>
    </row>
    <row r="6" spans="1:42" x14ac:dyDescent="0.25">
      <c r="A6" s="303"/>
      <c r="B6" s="96"/>
      <c r="C6" s="304"/>
      <c r="D6" s="98">
        <v>96.01</v>
      </c>
      <c r="E6" s="71">
        <v>43903</v>
      </c>
      <c r="F6" s="99"/>
      <c r="G6" s="100">
        <v>4.03</v>
      </c>
      <c r="H6" s="101">
        <v>13.7</v>
      </c>
      <c r="I6" s="102"/>
      <c r="J6" s="76"/>
      <c r="K6" s="101"/>
      <c r="L6" s="311"/>
      <c r="M6" s="330" t="s">
        <v>122</v>
      </c>
      <c r="N6" s="375">
        <v>2.6</v>
      </c>
      <c r="O6" s="314"/>
      <c r="P6" s="315"/>
      <c r="Q6" s="118"/>
      <c r="R6" s="83"/>
      <c r="S6" s="118"/>
      <c r="T6" s="85"/>
      <c r="U6" s="108">
        <v>50</v>
      </c>
      <c r="V6" s="85">
        <v>43918</v>
      </c>
      <c r="W6" s="308">
        <v>100</v>
      </c>
      <c r="X6" s="83" t="s">
        <v>123</v>
      </c>
      <c r="Y6" s="133"/>
      <c r="Z6" s="83"/>
      <c r="AA6" s="309"/>
      <c r="AB6" s="89" t="s">
        <v>123</v>
      </c>
      <c r="AC6" s="329">
        <v>500</v>
      </c>
      <c r="AD6" s="316">
        <f>A27</f>
        <v>0</v>
      </c>
      <c r="AE6" s="317">
        <f>D27+H27+K27+N27</f>
        <v>950.92999999999984</v>
      </c>
      <c r="AF6" s="128">
        <f>L27+C27</f>
        <v>119</v>
      </c>
      <c r="AG6" s="129">
        <f>F27+G27+I27+M27+Q27+S27+U27+W27+Y27</f>
        <v>2518.89</v>
      </c>
      <c r="AJ6" s="30"/>
      <c r="AK6" s="112"/>
      <c r="AL6" s="30"/>
    </row>
    <row r="7" spans="1:42" ht="18.75" x14ac:dyDescent="0.25">
      <c r="A7" s="303"/>
      <c r="B7" s="96"/>
      <c r="C7" s="304"/>
      <c r="D7" s="98">
        <v>51</v>
      </c>
      <c r="E7" s="154">
        <v>43928</v>
      </c>
      <c r="F7" s="99"/>
      <c r="G7" s="100">
        <v>2.9</v>
      </c>
      <c r="H7" s="101">
        <v>0.7</v>
      </c>
      <c r="I7" s="108"/>
      <c r="J7" s="76"/>
      <c r="K7" s="101"/>
      <c r="L7" s="311"/>
      <c r="M7" s="330" t="s">
        <v>124</v>
      </c>
      <c r="N7" s="150">
        <v>9.6999999999999993</v>
      </c>
      <c r="O7" s="144"/>
      <c r="P7" s="145"/>
      <c r="Q7" s="118"/>
      <c r="R7" s="83"/>
      <c r="S7" s="118"/>
      <c r="T7" s="85"/>
      <c r="U7" s="108">
        <v>50</v>
      </c>
      <c r="V7" s="85">
        <v>43925</v>
      </c>
      <c r="W7" s="308">
        <v>100</v>
      </c>
      <c r="X7" s="83">
        <v>43932</v>
      </c>
      <c r="Y7" s="133"/>
      <c r="Z7" s="83"/>
      <c r="AA7" s="309"/>
      <c r="AB7" s="89">
        <v>43932</v>
      </c>
      <c r="AC7" s="329">
        <v>700</v>
      </c>
      <c r="AD7" s="320" t="s">
        <v>66</v>
      </c>
      <c r="AE7" s="321" t="s">
        <v>67</v>
      </c>
      <c r="AJ7" s="30"/>
      <c r="AK7" s="30"/>
      <c r="AL7" s="30"/>
    </row>
    <row r="8" spans="1:42" x14ac:dyDescent="0.25">
      <c r="A8" s="303"/>
      <c r="B8" s="96"/>
      <c r="C8" s="304"/>
      <c r="D8" s="98">
        <v>38.5</v>
      </c>
      <c r="E8" s="154">
        <v>43921</v>
      </c>
      <c r="F8" s="99"/>
      <c r="G8" s="100">
        <v>18.399999999999999</v>
      </c>
      <c r="H8" s="101">
        <v>19.5</v>
      </c>
      <c r="I8" s="108"/>
      <c r="J8" s="76"/>
      <c r="K8" s="101"/>
      <c r="L8" s="311"/>
      <c r="M8" s="330" t="s">
        <v>125</v>
      </c>
      <c r="N8" s="150">
        <v>9.6999999999999993</v>
      </c>
      <c r="O8" s="133"/>
      <c r="P8" s="134"/>
      <c r="Q8" s="118"/>
      <c r="R8" s="83"/>
      <c r="S8" s="118"/>
      <c r="T8" s="85"/>
      <c r="U8" s="322">
        <v>50</v>
      </c>
      <c r="V8" s="323">
        <v>43927</v>
      </c>
      <c r="W8" s="324">
        <v>50</v>
      </c>
      <c r="X8" s="137">
        <v>43938</v>
      </c>
      <c r="Y8" s="325"/>
      <c r="Z8" s="83"/>
      <c r="AA8" s="309"/>
      <c r="AB8" s="89">
        <v>43932</v>
      </c>
      <c r="AC8" s="329">
        <v>50</v>
      </c>
      <c r="AD8" s="326">
        <v>0</v>
      </c>
      <c r="AE8" s="327">
        <f>E27</f>
        <v>0</v>
      </c>
      <c r="AJ8" s="30"/>
      <c r="AK8" s="30"/>
      <c r="AL8" s="30"/>
    </row>
    <row r="9" spans="1:42" x14ac:dyDescent="0.25">
      <c r="A9" s="303"/>
      <c r="B9" s="76"/>
      <c r="C9" s="328"/>
      <c r="D9" s="98">
        <v>70</v>
      </c>
      <c r="E9" s="71">
        <v>43944</v>
      </c>
      <c r="F9" s="99"/>
      <c r="G9" s="100">
        <v>2.7</v>
      </c>
      <c r="H9" s="143">
        <v>18.399999999999999</v>
      </c>
      <c r="I9" s="108"/>
      <c r="J9" s="76"/>
      <c r="K9" s="101"/>
      <c r="L9" s="311"/>
      <c r="M9" s="330"/>
      <c r="N9" s="150"/>
      <c r="O9" s="144"/>
      <c r="P9" s="145"/>
      <c r="Q9" s="118"/>
      <c r="R9" s="83"/>
      <c r="S9" s="118"/>
      <c r="T9" s="85"/>
      <c r="U9" s="108">
        <v>50</v>
      </c>
      <c r="V9" s="85">
        <v>43936</v>
      </c>
      <c r="W9" s="308">
        <v>100</v>
      </c>
      <c r="X9" s="83">
        <v>43939</v>
      </c>
      <c r="Y9" s="133"/>
      <c r="Z9" s="83"/>
      <c r="AA9" s="309"/>
      <c r="AB9" s="89">
        <v>43942</v>
      </c>
      <c r="AC9" s="329">
        <v>600</v>
      </c>
      <c r="AD9" s="1244">
        <f>AD8-AE8</f>
        <v>0</v>
      </c>
      <c r="AE9" s="1222"/>
      <c r="AJ9" s="30"/>
      <c r="AK9" s="30"/>
      <c r="AL9" s="146"/>
    </row>
    <row r="10" spans="1:42" x14ac:dyDescent="0.25">
      <c r="A10" s="303"/>
      <c r="B10" s="76"/>
      <c r="C10" s="328"/>
      <c r="D10" s="98"/>
      <c r="E10" s="154">
        <v>43944</v>
      </c>
      <c r="F10" s="99">
        <v>80</v>
      </c>
      <c r="G10" s="100">
        <v>6.94</v>
      </c>
      <c r="H10" s="101">
        <v>2.9</v>
      </c>
      <c r="I10" s="108"/>
      <c r="J10" s="76"/>
      <c r="K10" s="101"/>
      <c r="L10" s="311"/>
      <c r="M10" s="330"/>
      <c r="N10" s="150"/>
      <c r="O10" s="144"/>
      <c r="P10" s="145"/>
      <c r="Q10" s="118"/>
      <c r="R10" s="83"/>
      <c r="S10" s="118"/>
      <c r="T10" s="85"/>
      <c r="U10" s="108">
        <v>50</v>
      </c>
      <c r="V10" s="85">
        <v>43937</v>
      </c>
      <c r="W10" s="308">
        <v>100</v>
      </c>
      <c r="X10" s="83">
        <v>43942</v>
      </c>
      <c r="Y10" s="133"/>
      <c r="Z10" s="83"/>
      <c r="AA10" s="309"/>
      <c r="AB10" s="89"/>
      <c r="AC10" s="329"/>
      <c r="AJ10" s="30"/>
      <c r="AK10" s="30"/>
      <c r="AL10" s="30"/>
    </row>
    <row r="11" spans="1:42" x14ac:dyDescent="0.25">
      <c r="A11" s="303"/>
      <c r="B11" s="76"/>
      <c r="C11" s="328"/>
      <c r="D11" s="148"/>
      <c r="E11" s="376">
        <v>43904</v>
      </c>
      <c r="F11" s="149">
        <v>50</v>
      </c>
      <c r="G11" s="100">
        <v>9.1</v>
      </c>
      <c r="H11" s="101"/>
      <c r="I11" s="108"/>
      <c r="J11" s="76"/>
      <c r="K11" s="101"/>
      <c r="L11" s="311"/>
      <c r="M11" s="330"/>
      <c r="N11" s="150"/>
      <c r="O11" s="144"/>
      <c r="P11" s="145"/>
      <c r="Q11" s="118"/>
      <c r="R11" s="83"/>
      <c r="S11" s="118"/>
      <c r="T11" s="85"/>
      <c r="U11" s="108">
        <v>50</v>
      </c>
      <c r="V11" s="85">
        <v>43941</v>
      </c>
      <c r="W11" s="308"/>
      <c r="X11" s="83"/>
      <c r="Y11" s="133"/>
      <c r="Z11" s="83"/>
      <c r="AA11" s="309"/>
      <c r="AB11" s="89"/>
      <c r="AC11" s="329"/>
      <c r="AJ11" s="30"/>
      <c r="AK11" s="30"/>
      <c r="AL11" s="30"/>
    </row>
    <row r="12" spans="1:42" x14ac:dyDescent="0.25">
      <c r="A12" s="303"/>
      <c r="B12" s="76"/>
      <c r="C12" s="328"/>
      <c r="D12" s="148"/>
      <c r="E12" s="376">
        <v>43904</v>
      </c>
      <c r="F12" s="149">
        <v>79.989999999999995</v>
      </c>
      <c r="G12" s="100">
        <v>4.1399999999999997</v>
      </c>
      <c r="H12" s="101"/>
      <c r="I12" s="108"/>
      <c r="J12" s="76"/>
      <c r="K12" s="101"/>
      <c r="L12" s="311"/>
      <c r="M12" s="330"/>
      <c r="N12" s="150"/>
      <c r="O12" s="144"/>
      <c r="P12" s="145"/>
      <c r="Q12" s="118"/>
      <c r="R12" s="83"/>
      <c r="S12" s="118"/>
      <c r="T12" s="85"/>
      <c r="U12" s="108">
        <v>50</v>
      </c>
      <c r="V12" s="85">
        <v>43946</v>
      </c>
      <c r="W12" s="308"/>
      <c r="X12" s="83"/>
      <c r="Y12" s="133"/>
      <c r="Z12" s="83"/>
      <c r="AA12" s="309"/>
      <c r="AB12" s="89"/>
      <c r="AC12" s="329"/>
      <c r="AJ12" s="30"/>
      <c r="AK12" s="30"/>
      <c r="AL12" s="30"/>
    </row>
    <row r="13" spans="1:42" x14ac:dyDescent="0.25">
      <c r="A13" s="303"/>
      <c r="B13" s="76"/>
      <c r="C13" s="328"/>
      <c r="D13" s="152">
        <v>60</v>
      </c>
      <c r="E13" s="154">
        <v>43932</v>
      </c>
      <c r="F13" s="149"/>
      <c r="G13" s="100">
        <v>11</v>
      </c>
      <c r="H13" s="101"/>
      <c r="I13" s="108"/>
      <c r="J13" s="76"/>
      <c r="K13" s="101"/>
      <c r="L13" s="311"/>
      <c r="M13" s="330"/>
      <c r="N13" s="150"/>
      <c r="O13" s="144"/>
      <c r="P13" s="145"/>
      <c r="Q13" s="118"/>
      <c r="R13" s="83"/>
      <c r="S13" s="118"/>
      <c r="T13" s="85"/>
      <c r="U13" s="108"/>
      <c r="V13" s="85"/>
      <c r="W13" s="308"/>
      <c r="X13" s="83"/>
      <c r="Y13" s="133"/>
      <c r="Z13" s="83"/>
      <c r="AA13" s="309"/>
      <c r="AB13" s="89"/>
      <c r="AC13" s="329"/>
      <c r="AD13" s="30"/>
      <c r="AE13" s="30"/>
      <c r="AF13" s="30"/>
      <c r="AG13" s="30"/>
      <c r="AI13" s="30"/>
      <c r="AJ13" s="30"/>
      <c r="AK13" s="30"/>
      <c r="AL13" s="30"/>
    </row>
    <row r="14" spans="1:42" x14ac:dyDescent="0.25">
      <c r="A14" s="303"/>
      <c r="B14" s="76"/>
      <c r="C14" s="328"/>
      <c r="D14" s="148"/>
      <c r="E14" s="71">
        <v>43928</v>
      </c>
      <c r="F14" s="149">
        <v>70</v>
      </c>
      <c r="G14" s="100">
        <v>14.8</v>
      </c>
      <c r="H14" s="101"/>
      <c r="I14" s="108"/>
      <c r="J14" s="76"/>
      <c r="K14" s="101"/>
      <c r="L14" s="311"/>
      <c r="M14" s="330"/>
      <c r="N14" s="150"/>
      <c r="O14" s="144"/>
      <c r="P14" s="145"/>
      <c r="Q14" s="118"/>
      <c r="R14" s="83"/>
      <c r="S14" s="118"/>
      <c r="T14" s="85"/>
      <c r="U14" s="108"/>
      <c r="V14" s="85"/>
      <c r="W14" s="308"/>
      <c r="X14" s="83"/>
      <c r="Y14" s="133"/>
      <c r="Z14" s="83"/>
      <c r="AA14" s="309"/>
      <c r="AB14" s="89"/>
      <c r="AC14" s="329"/>
      <c r="AD14" s="30"/>
      <c r="AE14" s="30"/>
      <c r="AF14" s="30"/>
      <c r="AG14" s="30"/>
      <c r="AI14" s="30"/>
    </row>
    <row r="15" spans="1:42" x14ac:dyDescent="0.25">
      <c r="A15" s="303"/>
      <c r="B15" s="76"/>
      <c r="C15" s="328"/>
      <c r="D15" s="148"/>
      <c r="E15" s="71">
        <v>43914</v>
      </c>
      <c r="F15" s="149">
        <v>80</v>
      </c>
      <c r="G15" s="100"/>
      <c r="H15" s="101"/>
      <c r="I15" s="108"/>
      <c r="J15" s="76"/>
      <c r="K15" s="101"/>
      <c r="L15" s="311"/>
      <c r="M15" s="330"/>
      <c r="N15" s="150"/>
      <c r="O15" s="144"/>
      <c r="P15" s="145"/>
      <c r="Q15" s="118"/>
      <c r="R15" s="83"/>
      <c r="S15" s="118"/>
      <c r="T15" s="85"/>
      <c r="U15" s="108"/>
      <c r="V15" s="85"/>
      <c r="W15" s="308"/>
      <c r="X15" s="83"/>
      <c r="Y15" s="133"/>
      <c r="Z15" s="83"/>
      <c r="AA15" s="309"/>
      <c r="AB15" s="89"/>
      <c r="AC15" s="329"/>
      <c r="AD15" s="30"/>
      <c r="AE15" s="30"/>
      <c r="AF15" s="30"/>
      <c r="AG15" s="30"/>
      <c r="AI15" s="30"/>
    </row>
    <row r="16" spans="1:42" x14ac:dyDescent="0.25">
      <c r="A16" s="303"/>
      <c r="B16" s="76"/>
      <c r="C16" s="328"/>
      <c r="D16" s="148"/>
      <c r="E16" s="71"/>
      <c r="F16" s="149"/>
      <c r="G16" s="100"/>
      <c r="H16" s="101"/>
      <c r="I16" s="108"/>
      <c r="J16" s="76"/>
      <c r="K16" s="101"/>
      <c r="L16" s="311"/>
      <c r="M16" s="330"/>
      <c r="N16" s="150"/>
      <c r="O16" s="144"/>
      <c r="P16" s="145"/>
      <c r="Q16" s="118"/>
      <c r="R16" s="83"/>
      <c r="S16" s="118"/>
      <c r="T16" s="85"/>
      <c r="U16" s="108"/>
      <c r="V16" s="85"/>
      <c r="W16" s="308"/>
      <c r="X16" s="83"/>
      <c r="Y16" s="133"/>
      <c r="Z16" s="83"/>
      <c r="AA16" s="309"/>
      <c r="AB16" s="89"/>
      <c r="AC16" s="329"/>
      <c r="AD16" s="30"/>
      <c r="AE16" s="30"/>
      <c r="AF16" s="30"/>
      <c r="AG16" s="30"/>
      <c r="AI16" s="30"/>
    </row>
    <row r="17" spans="1:39" x14ac:dyDescent="0.25">
      <c r="A17" s="303"/>
      <c r="B17" s="76"/>
      <c r="C17" s="328"/>
      <c r="D17" s="148"/>
      <c r="E17" s="71"/>
      <c r="F17" s="149"/>
      <c r="G17" s="100"/>
      <c r="H17" s="101"/>
      <c r="I17" s="108"/>
      <c r="J17" s="76"/>
      <c r="K17" s="101"/>
      <c r="L17" s="311"/>
      <c r="M17" s="330"/>
      <c r="N17" s="150"/>
      <c r="O17" s="144"/>
      <c r="P17" s="145"/>
      <c r="Q17" s="118"/>
      <c r="R17" s="83"/>
      <c r="S17" s="118"/>
      <c r="T17" s="85"/>
      <c r="U17" s="108"/>
      <c r="V17" s="85"/>
      <c r="W17" s="308"/>
      <c r="X17" s="83"/>
      <c r="Y17" s="133"/>
      <c r="Z17" s="83"/>
      <c r="AA17" s="309"/>
      <c r="AB17" s="89"/>
      <c r="AC17" s="329"/>
      <c r="AD17" s="30"/>
      <c r="AE17" s="30"/>
      <c r="AF17" s="30"/>
      <c r="AG17" s="30"/>
      <c r="AI17" s="30"/>
    </row>
    <row r="18" spans="1:39" x14ac:dyDescent="0.25">
      <c r="A18" s="303"/>
      <c r="B18" s="76"/>
      <c r="C18" s="328"/>
      <c r="D18" s="148"/>
      <c r="E18" s="71"/>
      <c r="F18" s="149"/>
      <c r="G18" s="100"/>
      <c r="H18" s="101"/>
      <c r="I18" s="108"/>
      <c r="J18" s="76"/>
      <c r="K18" s="101"/>
      <c r="L18" s="311"/>
      <c r="M18" s="330"/>
      <c r="N18" s="329"/>
      <c r="O18" s="144"/>
      <c r="P18" s="145"/>
      <c r="Q18" s="118"/>
      <c r="R18" s="83"/>
      <c r="S18" s="118"/>
      <c r="T18" s="85"/>
      <c r="U18" s="108"/>
      <c r="V18" s="85"/>
      <c r="W18" s="308"/>
      <c r="X18" s="83"/>
      <c r="Y18" s="133"/>
      <c r="Z18" s="83"/>
      <c r="AA18" s="309"/>
      <c r="AB18" s="89"/>
      <c r="AC18" s="329"/>
      <c r="AD18" s="30"/>
      <c r="AE18" s="30"/>
      <c r="AF18" s="30"/>
      <c r="AG18" s="30"/>
      <c r="AI18" s="30"/>
    </row>
    <row r="19" spans="1:39" x14ac:dyDescent="0.25">
      <c r="A19" s="303"/>
      <c r="B19" s="76"/>
      <c r="C19" s="328"/>
      <c r="D19" s="148"/>
      <c r="E19" s="71"/>
      <c r="F19" s="149"/>
      <c r="G19" s="100"/>
      <c r="H19" s="101"/>
      <c r="I19" s="108"/>
      <c r="J19" s="76"/>
      <c r="K19" s="101"/>
      <c r="L19" s="311"/>
      <c r="M19" s="330"/>
      <c r="N19" s="329"/>
      <c r="O19" s="144"/>
      <c r="P19" s="145"/>
      <c r="Q19" s="118"/>
      <c r="R19" s="83"/>
      <c r="S19" s="118"/>
      <c r="T19" s="85"/>
      <c r="U19" s="108"/>
      <c r="V19" s="85"/>
      <c r="W19" s="308"/>
      <c r="X19" s="83"/>
      <c r="Y19" s="133"/>
      <c r="Z19" s="83"/>
      <c r="AA19" s="309"/>
      <c r="AB19" s="89"/>
      <c r="AC19" s="329"/>
      <c r="AD19" s="30"/>
      <c r="AE19" s="30"/>
      <c r="AF19" s="30"/>
      <c r="AG19" s="30"/>
      <c r="AI19" s="30"/>
    </row>
    <row r="20" spans="1:39" x14ac:dyDescent="0.25">
      <c r="A20" s="303"/>
      <c r="B20" s="76"/>
      <c r="C20" s="328"/>
      <c r="D20" s="148"/>
      <c r="E20" s="71"/>
      <c r="F20" s="149"/>
      <c r="G20" s="100"/>
      <c r="H20" s="101"/>
      <c r="I20" s="108"/>
      <c r="J20" s="76"/>
      <c r="K20" s="101"/>
      <c r="L20" s="311"/>
      <c r="M20" s="116"/>
      <c r="N20" s="329"/>
      <c r="O20" s="144"/>
      <c r="P20" s="145"/>
      <c r="Q20" s="118"/>
      <c r="R20" s="83"/>
      <c r="S20" s="118"/>
      <c r="T20" s="85"/>
      <c r="U20" s="108"/>
      <c r="V20" s="85"/>
      <c r="W20" s="308"/>
      <c r="X20" s="83"/>
      <c r="Y20" s="133"/>
      <c r="Z20" s="83"/>
      <c r="AA20" s="309"/>
      <c r="AB20" s="89"/>
      <c r="AC20" s="329"/>
      <c r="AD20" s="30"/>
      <c r="AE20" s="30"/>
      <c r="AF20" s="30"/>
      <c r="AG20" s="30"/>
      <c r="AI20" s="30"/>
    </row>
    <row r="21" spans="1:39" ht="15.75" customHeight="1" x14ac:dyDescent="0.25">
      <c r="A21" s="303"/>
      <c r="B21" s="76"/>
      <c r="C21" s="328"/>
      <c r="D21" s="148"/>
      <c r="E21" s="71"/>
      <c r="F21" s="149"/>
      <c r="G21" s="100"/>
      <c r="H21" s="101"/>
      <c r="I21" s="108"/>
      <c r="J21" s="76"/>
      <c r="K21" s="101"/>
      <c r="L21" s="311"/>
      <c r="M21" s="116"/>
      <c r="N21" s="329"/>
      <c r="O21" s="144"/>
      <c r="P21" s="145"/>
      <c r="Q21" s="118"/>
      <c r="R21" s="83"/>
      <c r="S21" s="118"/>
      <c r="T21" s="85"/>
      <c r="U21" s="108"/>
      <c r="V21" s="85"/>
      <c r="W21" s="308"/>
      <c r="X21" s="83"/>
      <c r="Y21" s="133"/>
      <c r="Z21" s="83"/>
      <c r="AA21" s="309"/>
      <c r="AB21" s="89"/>
      <c r="AC21" s="329"/>
      <c r="AD21" s="30"/>
      <c r="AE21" s="30"/>
      <c r="AF21" s="30"/>
      <c r="AG21" s="30"/>
      <c r="AI21" s="30"/>
    </row>
    <row r="22" spans="1:39" ht="15.75" customHeight="1" x14ac:dyDescent="0.25">
      <c r="A22" s="303"/>
      <c r="B22" s="76"/>
      <c r="C22" s="328"/>
      <c r="D22" s="148"/>
      <c r="E22" s="71"/>
      <c r="F22" s="149"/>
      <c r="G22" s="100"/>
      <c r="H22" s="101"/>
      <c r="I22" s="108"/>
      <c r="J22" s="76"/>
      <c r="K22" s="101"/>
      <c r="L22" s="311"/>
      <c r="M22" s="116"/>
      <c r="N22" s="329"/>
      <c r="O22" s="144"/>
      <c r="P22" s="145"/>
      <c r="Q22" s="118"/>
      <c r="R22" s="83"/>
      <c r="S22" s="118"/>
      <c r="T22" s="85"/>
      <c r="U22" s="108"/>
      <c r="V22" s="85"/>
      <c r="W22" s="308"/>
      <c r="X22" s="83"/>
      <c r="Y22" s="133"/>
      <c r="Z22" s="83"/>
      <c r="AA22" s="309"/>
      <c r="AB22" s="89"/>
      <c r="AC22" s="329"/>
      <c r="AD22" s="30"/>
      <c r="AE22" s="30"/>
      <c r="AF22" s="30"/>
      <c r="AG22" s="30"/>
      <c r="AI22" s="30"/>
    </row>
    <row r="23" spans="1:39" ht="15.75" customHeight="1" x14ac:dyDescent="0.25">
      <c r="A23" s="303"/>
      <c r="B23" s="76"/>
      <c r="C23" s="328"/>
      <c r="D23" s="148"/>
      <c r="E23" s="71"/>
      <c r="F23" s="149"/>
      <c r="G23" s="100"/>
      <c r="H23" s="101"/>
      <c r="I23" s="108"/>
      <c r="J23" s="76"/>
      <c r="K23" s="101"/>
      <c r="L23" s="311"/>
      <c r="M23" s="116"/>
      <c r="N23" s="329"/>
      <c r="O23" s="144"/>
      <c r="P23" s="145"/>
      <c r="Q23" s="118"/>
      <c r="R23" s="83"/>
      <c r="S23" s="118"/>
      <c r="T23" s="85"/>
      <c r="U23" s="108"/>
      <c r="V23" s="85"/>
      <c r="W23" s="308"/>
      <c r="X23" s="83"/>
      <c r="Y23" s="133"/>
      <c r="Z23" s="83"/>
      <c r="AA23" s="309"/>
      <c r="AB23" s="89"/>
      <c r="AC23" s="329"/>
      <c r="AD23" s="30"/>
      <c r="AE23" s="30"/>
      <c r="AF23" s="30"/>
      <c r="AG23" s="30"/>
      <c r="AI23" s="30"/>
    </row>
    <row r="24" spans="1:39" ht="15.75" customHeight="1" x14ac:dyDescent="0.25">
      <c r="A24" s="303"/>
      <c r="B24" s="76"/>
      <c r="C24" s="328"/>
      <c r="D24" s="148"/>
      <c r="E24" s="71"/>
      <c r="F24" s="149"/>
      <c r="G24" s="100"/>
      <c r="H24" s="101"/>
      <c r="I24" s="108"/>
      <c r="J24" s="76"/>
      <c r="K24" s="101"/>
      <c r="L24" s="311"/>
      <c r="M24" s="116"/>
      <c r="N24" s="329"/>
      <c r="O24" s="144"/>
      <c r="P24" s="145"/>
      <c r="Q24" s="118"/>
      <c r="R24" s="83"/>
      <c r="S24" s="118"/>
      <c r="T24" s="85"/>
      <c r="U24" s="108"/>
      <c r="V24" s="85"/>
      <c r="W24" s="308"/>
      <c r="X24" s="83"/>
      <c r="Y24" s="133"/>
      <c r="Z24" s="83"/>
      <c r="AA24" s="309"/>
      <c r="AB24" s="89"/>
      <c r="AC24" s="329"/>
      <c r="AD24" s="30"/>
      <c r="AE24" s="30"/>
      <c r="AF24" s="30"/>
      <c r="AG24" s="30"/>
      <c r="AI24" s="30"/>
    </row>
    <row r="25" spans="1:39" ht="15.75" customHeight="1" x14ac:dyDescent="0.25">
      <c r="A25" s="331"/>
      <c r="B25" s="159"/>
      <c r="C25" s="332"/>
      <c r="D25" s="161"/>
      <c r="E25" s="333"/>
      <c r="F25" s="163"/>
      <c r="G25" s="164"/>
      <c r="H25" s="117"/>
      <c r="I25" s="334"/>
      <c r="J25" s="159"/>
      <c r="K25" s="117"/>
      <c r="L25" s="335"/>
      <c r="M25" s="336"/>
      <c r="N25" s="337"/>
      <c r="O25" s="169"/>
      <c r="P25" s="170"/>
      <c r="Q25" s="172"/>
      <c r="R25" s="338"/>
      <c r="S25" s="172"/>
      <c r="T25" s="39"/>
      <c r="U25" s="334"/>
      <c r="V25" s="39"/>
      <c r="W25" s="339"/>
      <c r="X25" s="173"/>
      <c r="Y25" s="340"/>
      <c r="Z25" s="173"/>
      <c r="AA25" s="341"/>
      <c r="AB25" s="176"/>
      <c r="AC25" s="342"/>
      <c r="AD25" s="30"/>
      <c r="AE25" s="30"/>
      <c r="AF25" s="30"/>
      <c r="AG25" s="30"/>
      <c r="AI25" s="30"/>
    </row>
    <row r="26" spans="1:39" ht="15.75" customHeight="1" x14ac:dyDescent="0.25">
      <c r="A26" s="1249" t="s">
        <v>102</v>
      </c>
      <c r="B26" s="1250"/>
      <c r="C26" s="1251"/>
      <c r="D26" s="343" t="s">
        <v>103</v>
      </c>
      <c r="E26" s="343" t="s">
        <v>61</v>
      </c>
      <c r="F26" s="344" t="s">
        <v>103</v>
      </c>
      <c r="G26" s="1252" t="s">
        <v>103</v>
      </c>
      <c r="H26" s="1251"/>
      <c r="I26" s="1252" t="s">
        <v>102</v>
      </c>
      <c r="J26" s="1250"/>
      <c r="K26" s="1251"/>
      <c r="L26" s="1253" t="s">
        <v>102</v>
      </c>
      <c r="M26" s="1250"/>
      <c r="N26" s="1251"/>
      <c r="O26" s="1252" t="s">
        <v>104</v>
      </c>
      <c r="P26" s="1251"/>
      <c r="Q26" s="1252" t="s">
        <v>104</v>
      </c>
      <c r="R26" s="1251"/>
      <c r="S26" s="1252" t="s">
        <v>104</v>
      </c>
      <c r="T26" s="1251"/>
      <c r="U26" s="1252" t="s">
        <v>104</v>
      </c>
      <c r="V26" s="1251"/>
      <c r="W26" s="1254" t="s">
        <v>102</v>
      </c>
      <c r="X26" s="1255"/>
      <c r="Y26" s="1256" t="s">
        <v>102</v>
      </c>
      <c r="Z26" s="1255"/>
      <c r="AA26" s="1240" t="s">
        <v>102</v>
      </c>
      <c r="AB26" s="1241"/>
      <c r="AC26" s="1242"/>
      <c r="AE26" s="30"/>
      <c r="AF26" s="30"/>
      <c r="AG26" s="30"/>
      <c r="AI26" s="30"/>
    </row>
    <row r="27" spans="1:39" ht="15.75" customHeight="1" x14ac:dyDescent="0.25">
      <c r="A27" s="345">
        <f>SUM(A3:A25)</f>
        <v>0</v>
      </c>
      <c r="B27" s="346"/>
      <c r="C27" s="196">
        <f t="shared" ref="C27:D27" si="0">SUM(C3:C25)</f>
        <v>0</v>
      </c>
      <c r="D27" s="197">
        <f t="shared" si="0"/>
        <v>559.08999999999992</v>
      </c>
      <c r="E27" s="203">
        <v>0</v>
      </c>
      <c r="F27" s="347">
        <f t="shared" ref="F27:I27" si="1">SUM(F3:F25)</f>
        <v>359.99</v>
      </c>
      <c r="G27" s="197">
        <f t="shared" si="1"/>
        <v>96.3</v>
      </c>
      <c r="H27" s="199">
        <f t="shared" si="1"/>
        <v>71.900000000000006</v>
      </c>
      <c r="I27" s="197">
        <f t="shared" si="1"/>
        <v>200</v>
      </c>
      <c r="J27" s="348"/>
      <c r="K27" s="349">
        <f t="shared" ref="K27:L27" si="2">SUM(K3:K25)</f>
        <v>0</v>
      </c>
      <c r="L27" s="350">
        <f t="shared" si="2"/>
        <v>119</v>
      </c>
      <c r="M27" s="377">
        <f>N6</f>
        <v>2.6</v>
      </c>
      <c r="N27" s="197">
        <f>N3+N4+N7+N8</f>
        <v>319.93999999999994</v>
      </c>
      <c r="O27" s="353">
        <f>O3+O5</f>
        <v>511.11000000000013</v>
      </c>
      <c r="P27" s="354">
        <f>P3</f>
        <v>-119</v>
      </c>
      <c r="Q27" s="203">
        <f>SUM(Q3:Q25)</f>
        <v>0</v>
      </c>
      <c r="R27" s="355">
        <v>0</v>
      </c>
      <c r="S27" s="203">
        <f>SUM(S3:S25)</f>
        <v>300</v>
      </c>
      <c r="T27" s="356">
        <v>0</v>
      </c>
      <c r="U27" s="357">
        <f>SUM(U3:U25)</f>
        <v>500</v>
      </c>
      <c r="V27" s="356">
        <v>850</v>
      </c>
      <c r="W27" s="1247">
        <f>SUM(W3:W25)</f>
        <v>750</v>
      </c>
      <c r="X27" s="1248"/>
      <c r="Y27" s="1247">
        <f>SUM(Y3:Y25)</f>
        <v>310</v>
      </c>
      <c r="Z27" s="1248"/>
      <c r="AA27" s="358">
        <f>SUM(AA3:AA25)</f>
        <v>0</v>
      </c>
      <c r="AB27" s="359"/>
      <c r="AC27" s="360">
        <f>SUM(AC3:AC25)</f>
        <v>3280</v>
      </c>
      <c r="AE27" s="30"/>
      <c r="AF27" s="30"/>
      <c r="AG27" s="30"/>
      <c r="AI27" s="30"/>
    </row>
    <row r="28" spans="1:39" ht="15.75" customHeight="1" x14ac:dyDescent="0.25">
      <c r="U28">
        <v>550</v>
      </c>
      <c r="V28" t="s">
        <v>105</v>
      </c>
      <c r="AE28" s="30"/>
      <c r="AF28" s="30"/>
      <c r="AG28" s="30"/>
      <c r="AI28" s="30"/>
    </row>
    <row r="29" spans="1:39" ht="15.75" customHeight="1" x14ac:dyDescent="0.25">
      <c r="U29">
        <v>100</v>
      </c>
      <c r="V29" t="s">
        <v>126</v>
      </c>
      <c r="AE29" s="30"/>
      <c r="AF29" s="30"/>
      <c r="AG29" s="30"/>
      <c r="AI29" s="30"/>
    </row>
    <row r="30" spans="1:39" ht="15.75" customHeight="1" x14ac:dyDescent="0.25">
      <c r="E30" s="30"/>
      <c r="F30" s="30"/>
      <c r="G30" s="30"/>
      <c r="M30" s="30"/>
      <c r="P30" s="30"/>
      <c r="R30" s="30"/>
      <c r="T30" s="30"/>
      <c r="U30" s="30"/>
      <c r="AF30" s="30"/>
      <c r="AG30" s="30"/>
      <c r="AI30" s="30"/>
      <c r="AJ30" s="30"/>
      <c r="AK30" s="30"/>
      <c r="AM30" s="30"/>
    </row>
    <row r="31" spans="1:39" ht="15.75" customHeight="1" x14ac:dyDescent="0.25">
      <c r="E31" s="30"/>
      <c r="F31" s="30"/>
      <c r="G31" s="30"/>
      <c r="J31" s="30"/>
      <c r="K31" s="30"/>
      <c r="L31" s="30"/>
      <c r="M31" s="30"/>
      <c r="P31" s="30"/>
      <c r="R31" s="30"/>
      <c r="T31" s="30"/>
      <c r="U31" s="361"/>
      <c r="AF31" s="30"/>
      <c r="AG31" s="30"/>
      <c r="AI31" s="30"/>
      <c r="AJ31" s="30"/>
      <c r="AK31" s="30"/>
      <c r="AM31" s="30"/>
    </row>
    <row r="32" spans="1:39" ht="15.75" customHeight="1" x14ac:dyDescent="0.25">
      <c r="E32" s="30"/>
      <c r="F32" s="30"/>
      <c r="G32" s="30"/>
      <c r="J32" s="30"/>
      <c r="K32" s="30"/>
      <c r="L32" s="30"/>
      <c r="M32" s="30"/>
      <c r="P32" s="30"/>
      <c r="R32" s="30"/>
      <c r="T32" s="30"/>
      <c r="U32" s="30"/>
      <c r="AF32" s="30"/>
      <c r="AG32" s="30"/>
      <c r="AI32" s="30"/>
      <c r="AJ32" s="30"/>
      <c r="AK32" s="30"/>
      <c r="AM32" s="30"/>
    </row>
    <row r="33" spans="5:39" ht="15.75" customHeight="1" x14ac:dyDescent="0.25">
      <c r="E33" s="30"/>
      <c r="F33" s="30"/>
      <c r="G33" s="30"/>
      <c r="J33" s="30"/>
      <c r="K33" s="30"/>
      <c r="L33" s="30"/>
      <c r="M33" s="30"/>
      <c r="P33" s="30"/>
      <c r="Q33" s="30"/>
      <c r="R33" s="30"/>
      <c r="T33" s="30"/>
      <c r="U33" s="30"/>
      <c r="AF33" s="30"/>
      <c r="AG33" s="30"/>
      <c r="AI33" s="30"/>
      <c r="AJ33" s="30"/>
      <c r="AK33" s="30"/>
      <c r="AM33" s="30"/>
    </row>
    <row r="34" spans="5:39" ht="15.75" customHeight="1" x14ac:dyDescent="0.25">
      <c r="E34" s="30"/>
      <c r="F34" s="30"/>
      <c r="G34" s="30"/>
      <c r="J34" s="30"/>
      <c r="K34" s="30"/>
      <c r="L34" s="30"/>
      <c r="M34" s="30"/>
      <c r="P34" s="30"/>
      <c r="Q34" s="30"/>
      <c r="R34" s="30"/>
      <c r="T34" s="30"/>
      <c r="U34" s="30"/>
      <c r="AF34" s="30"/>
      <c r="AG34" s="30"/>
      <c r="AI34" s="30"/>
      <c r="AJ34" s="30"/>
      <c r="AK34" s="30"/>
      <c r="AM34" s="30"/>
    </row>
    <row r="35" spans="5:39" ht="15.75" customHeight="1" x14ac:dyDescent="0.25">
      <c r="E35" s="30"/>
      <c r="F35" s="30"/>
      <c r="G35" s="30"/>
      <c r="J35" s="30"/>
      <c r="K35" s="30"/>
      <c r="L35" s="30"/>
      <c r="M35" s="30"/>
      <c r="P35" s="30"/>
      <c r="Q35" s="30"/>
      <c r="R35" s="30"/>
      <c r="T35" s="30"/>
      <c r="U35" s="30"/>
      <c r="AF35" s="30"/>
      <c r="AG35" s="30"/>
      <c r="AI35" s="30"/>
      <c r="AJ35" s="30"/>
      <c r="AK35" s="30"/>
      <c r="AM35" s="30"/>
    </row>
    <row r="36" spans="5:39" ht="15.75" customHeight="1" x14ac:dyDescent="0.25">
      <c r="Q36" s="30"/>
    </row>
    <row r="37" spans="5:39" ht="15.75" customHeight="1" x14ac:dyDescent="0.25">
      <c r="Q37" s="30"/>
    </row>
    <row r="38" spans="5:39" ht="15.75" customHeight="1" x14ac:dyDescent="0.25"/>
    <row r="39" spans="5:39" ht="15.75" customHeight="1" x14ac:dyDescent="0.25"/>
    <row r="40" spans="5:39" ht="15.75" customHeight="1" x14ac:dyDescent="0.25"/>
    <row r="41" spans="5:39" ht="15.75" customHeight="1" x14ac:dyDescent="0.25"/>
    <row r="42" spans="5:39" ht="15.75" customHeight="1" x14ac:dyDescent="0.25"/>
    <row r="43" spans="5:39" ht="15.75" customHeight="1" x14ac:dyDescent="0.25"/>
    <row r="44" spans="5:39" ht="15.75" customHeight="1" x14ac:dyDescent="0.25"/>
    <row r="45" spans="5:39" ht="15.75" customHeight="1" x14ac:dyDescent="0.25"/>
    <row r="46" spans="5:39" ht="15.75" customHeight="1" x14ac:dyDescent="0.25"/>
    <row r="47" spans="5:39" ht="15.75" customHeight="1" x14ac:dyDescent="0.25"/>
    <row r="48" spans="5:3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27">
    <mergeCell ref="O4:P4"/>
    <mergeCell ref="W26:X26"/>
    <mergeCell ref="Y26:Z26"/>
    <mergeCell ref="AA26:AC26"/>
    <mergeCell ref="AD9:AE9"/>
    <mergeCell ref="AD4:AE4"/>
    <mergeCell ref="O26:P26"/>
    <mergeCell ref="Q26:R26"/>
    <mergeCell ref="S26:T26"/>
    <mergeCell ref="U26:V26"/>
    <mergeCell ref="W27:X27"/>
    <mergeCell ref="Y27:Z27"/>
    <mergeCell ref="O5:P5"/>
    <mergeCell ref="A26:C26"/>
    <mergeCell ref="G26:H26"/>
    <mergeCell ref="I26:K26"/>
    <mergeCell ref="L26:N26"/>
    <mergeCell ref="AA1:AC1"/>
    <mergeCell ref="AD1:AE1"/>
    <mergeCell ref="AF1:AG1"/>
    <mergeCell ref="Q1:Z1"/>
    <mergeCell ref="AF4:AG4"/>
    <mergeCell ref="A1:F1"/>
    <mergeCell ref="G1:H1"/>
    <mergeCell ref="I1:K1"/>
    <mergeCell ref="L1:N1"/>
    <mergeCell ref="O1:P1"/>
  </mergeCells>
  <pageMargins left="0.7" right="0.7" top="0.75" bottom="0.75" header="0" footer="0"/>
  <pageSetup orientation="landscape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812518-8D8D-7742-98A0-75662DB39172}">
  <dimension ref="A1:X46"/>
  <sheetViews>
    <sheetView zoomScaleNormal="60" zoomScaleSheetLayoutView="100" workbookViewId="0">
      <selection activeCell="R15" sqref="R15"/>
    </sheetView>
  </sheetViews>
  <sheetFormatPr defaultColWidth="8.5703125" defaultRowHeight="15" x14ac:dyDescent="0.25"/>
  <cols>
    <col min="1" max="1" width="9.140625" customWidth="1"/>
    <col min="2" max="2" width="11.85546875" customWidth="1"/>
    <col min="3" max="3" width="11" bestFit="1" customWidth="1"/>
    <col min="4" max="4" width="7.42578125" bestFit="1" customWidth="1"/>
    <col min="5" max="5" width="12.8554687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10.85546875" customWidth="1"/>
    <col min="21" max="21" width="13" bestFit="1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4" ht="21" x14ac:dyDescent="0.25">
      <c r="A1" s="1196"/>
      <c r="B1" s="1196"/>
    </row>
    <row r="2" spans="1:24" ht="15.75" thickBot="1" x14ac:dyDescent="0.3">
      <c r="A2" s="1193"/>
      <c r="B2" s="1193"/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11</v>
      </c>
      <c r="U2" s="650" t="s">
        <v>12</v>
      </c>
      <c r="V2" s="650" t="s">
        <v>13</v>
      </c>
      <c r="W2" s="650" t="s">
        <v>14</v>
      </c>
      <c r="X2" s="642"/>
    </row>
    <row r="3" spans="1:24" ht="16.5" thickBot="1" x14ac:dyDescent="0.3">
      <c r="A3" s="1197" t="s">
        <v>671</v>
      </c>
      <c r="B3" s="1198"/>
      <c r="C3" s="1080">
        <v>44927</v>
      </c>
      <c r="D3" s="656" t="str">
        <f t="shared" ref="D3:D36" si="0">CHOOSE(WEEKDAY(X3),"Po","Út","St","Čt","Pá","So","Ne")</f>
        <v>Ne</v>
      </c>
      <c r="E3" s="724">
        <f t="shared" ref="E3:E36" si="1">I3-G3-H3</f>
        <v>0</v>
      </c>
      <c r="F3" s="1079">
        <f t="shared" ref="F3:F36" si="2">(P3*E3)*24</f>
        <v>0</v>
      </c>
      <c r="G3" s="724"/>
      <c r="H3" s="724"/>
      <c r="I3" s="724"/>
      <c r="J3" s="654"/>
      <c r="K3" s="657"/>
      <c r="L3" s="654"/>
      <c r="M3" s="656"/>
      <c r="N3" s="654"/>
      <c r="O3" s="657"/>
      <c r="P3" s="713"/>
      <c r="Q3" s="1081">
        <f>(Q5+Q7)</f>
        <v>232.99999999999997</v>
      </c>
      <c r="R3" s="656">
        <f t="shared" ref="R3" si="3">R5+R7</f>
        <v>233</v>
      </c>
      <c r="S3" s="1094">
        <f>'12hod22'!Q5</f>
        <v>0</v>
      </c>
      <c r="T3" s="644" t="s">
        <v>586</v>
      </c>
      <c r="U3" s="1092" t="str">
        <f>'12hod22'!S5</f>
        <v>Výplata za Prosinec</v>
      </c>
      <c r="V3" s="1093">
        <f>'12hod22'!T5</f>
        <v>44941</v>
      </c>
      <c r="W3" s="722">
        <f>V8*20</f>
        <v>0</v>
      </c>
      <c r="X3" s="642">
        <f t="shared" ref="X3:X36" si="4">WEEKDAY(C3,2)</f>
        <v>7</v>
      </c>
    </row>
    <row r="4" spans="1:24" x14ac:dyDescent="0.25">
      <c r="A4" s="1290">
        <v>1</v>
      </c>
      <c r="B4" s="1291"/>
      <c r="C4" s="1080">
        <v>44928</v>
      </c>
      <c r="D4" s="657" t="str">
        <f t="shared" si="0"/>
        <v>Po</v>
      </c>
      <c r="E4" s="724">
        <f t="shared" si="1"/>
        <v>0</v>
      </c>
      <c r="F4" s="1079">
        <f t="shared" si="2"/>
        <v>0</v>
      </c>
      <c r="G4" s="724"/>
      <c r="H4" s="724"/>
      <c r="I4" s="724"/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/>
      <c r="U4" s="611" t="s">
        <v>48</v>
      </c>
      <c r="V4" s="874"/>
      <c r="W4" s="718"/>
      <c r="X4" s="642">
        <f t="shared" si="4"/>
        <v>1</v>
      </c>
    </row>
    <row r="5" spans="1:24" x14ac:dyDescent="0.25">
      <c r="A5" s="1290"/>
      <c r="B5" s="1291"/>
      <c r="C5" s="1080">
        <v>44929</v>
      </c>
      <c r="D5" s="657" t="str">
        <f t="shared" si="0"/>
        <v>Út</v>
      </c>
      <c r="E5" s="724">
        <f t="shared" si="1"/>
        <v>0</v>
      </c>
      <c r="F5" s="1079">
        <f t="shared" si="2"/>
        <v>0</v>
      </c>
      <c r="G5" s="724"/>
      <c r="H5" s="724"/>
      <c r="I5" s="724"/>
      <c r="J5" s="654"/>
      <c r="K5" s="657"/>
      <c r="L5" s="654"/>
      <c r="M5" s="657"/>
      <c r="N5" s="654"/>
      <c r="O5" s="657"/>
      <c r="P5" s="714"/>
      <c r="Q5" s="1082">
        <f>Q41*24+79</f>
        <v>232.99999999999997</v>
      </c>
      <c r="R5" s="657">
        <v>233</v>
      </c>
      <c r="S5" s="738">
        <v>0</v>
      </c>
      <c r="T5" s="611"/>
      <c r="U5" s="611" t="s">
        <v>158</v>
      </c>
      <c r="V5" s="646"/>
      <c r="W5" s="718"/>
      <c r="X5" s="642">
        <f t="shared" si="4"/>
        <v>2</v>
      </c>
    </row>
    <row r="6" spans="1:24" x14ac:dyDescent="0.25">
      <c r="A6" s="1290"/>
      <c r="B6" s="1291"/>
      <c r="C6" s="1080">
        <v>44930</v>
      </c>
      <c r="D6" s="657" t="str">
        <f t="shared" si="0"/>
        <v>St</v>
      </c>
      <c r="E6" s="724">
        <f t="shared" si="1"/>
        <v>0.47916666666666663</v>
      </c>
      <c r="F6" s="1079">
        <f t="shared" si="2"/>
        <v>0</v>
      </c>
      <c r="G6" s="724">
        <v>0.29166666666666669</v>
      </c>
      <c r="H6" s="724">
        <f>TIME(0,30,0)</f>
        <v>2.0833333333333332E-2</v>
      </c>
      <c r="I6" s="724">
        <v>0.79166666666666663</v>
      </c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/>
      <c r="U6" s="611" t="s">
        <v>311</v>
      </c>
      <c r="V6" s="646" t="s">
        <v>596</v>
      </c>
      <c r="W6" s="718"/>
      <c r="X6" s="642">
        <f t="shared" si="4"/>
        <v>3</v>
      </c>
    </row>
    <row r="7" spans="1:24" ht="15.75" thickBot="1" x14ac:dyDescent="0.3">
      <c r="A7" s="1290"/>
      <c r="B7" s="1291"/>
      <c r="C7" s="1080">
        <v>44931</v>
      </c>
      <c r="D7" s="657" t="str">
        <f t="shared" si="0"/>
        <v>Čt</v>
      </c>
      <c r="E7" s="724">
        <f t="shared" si="1"/>
        <v>0.47916666666666663</v>
      </c>
      <c r="F7" s="1079">
        <f t="shared" si="2"/>
        <v>0</v>
      </c>
      <c r="G7" s="724">
        <v>0.29166666666666669</v>
      </c>
      <c r="H7" s="724">
        <f>TIME(0,30,0)</f>
        <v>2.0833333333333332E-2</v>
      </c>
      <c r="I7" s="724">
        <v>0.79166666666666663</v>
      </c>
      <c r="J7" s="654"/>
      <c r="K7" s="657"/>
      <c r="L7" s="654"/>
      <c r="M7" s="657"/>
      <c r="N7" s="654"/>
      <c r="O7" s="657"/>
      <c r="P7" s="714"/>
      <c r="Q7" s="1082">
        <f>Q42*24</f>
        <v>0</v>
      </c>
      <c r="R7" s="657">
        <v>0</v>
      </c>
      <c r="S7" s="712" t="s">
        <v>134</v>
      </c>
      <c r="T7" s="647"/>
      <c r="U7" s="647" t="s">
        <v>48</v>
      </c>
      <c r="V7" s="648"/>
      <c r="W7" s="718"/>
      <c r="X7" s="642">
        <f t="shared" si="4"/>
        <v>4</v>
      </c>
    </row>
    <row r="8" spans="1:24" x14ac:dyDescent="0.25">
      <c r="A8" s="1290"/>
      <c r="B8" s="1291"/>
      <c r="C8" s="1080">
        <v>44932</v>
      </c>
      <c r="D8" s="657" t="str">
        <f t="shared" si="0"/>
        <v>Pá</v>
      </c>
      <c r="E8" s="724">
        <f t="shared" si="1"/>
        <v>0</v>
      </c>
      <c r="F8" s="1079">
        <f t="shared" si="2"/>
        <v>0</v>
      </c>
      <c r="G8" s="724"/>
      <c r="H8" s="724"/>
      <c r="I8" s="724"/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0</v>
      </c>
      <c r="T8" s="718"/>
      <c r="U8" s="718"/>
      <c r="V8" s="718"/>
      <c r="W8" s="718"/>
      <c r="X8" s="642">
        <f t="shared" si="4"/>
        <v>5</v>
      </c>
    </row>
    <row r="9" spans="1:24" x14ac:dyDescent="0.25">
      <c r="A9" s="1290"/>
      <c r="B9" s="1291"/>
      <c r="C9" s="1080">
        <v>44933</v>
      </c>
      <c r="D9" s="657" t="str">
        <f t="shared" si="0"/>
        <v>So</v>
      </c>
      <c r="E9" s="724">
        <f t="shared" si="1"/>
        <v>0.35416666666666663</v>
      </c>
      <c r="F9" s="1079">
        <f t="shared" si="2"/>
        <v>0</v>
      </c>
      <c r="G9" s="724">
        <v>0.29166666666666669</v>
      </c>
      <c r="H9" s="724">
        <f>TIME(0,30,0)</f>
        <v>2.0833333333333332E-2</v>
      </c>
      <c r="I9" s="724">
        <v>0.66666666666666663</v>
      </c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718"/>
      <c r="U9" s="718"/>
      <c r="V9" s="718"/>
      <c r="W9" s="718"/>
      <c r="X9" s="642">
        <f t="shared" si="4"/>
        <v>6</v>
      </c>
    </row>
    <row r="10" spans="1:24" x14ac:dyDescent="0.25">
      <c r="A10" s="1290"/>
      <c r="B10" s="1291"/>
      <c r="C10" s="1080">
        <v>44934</v>
      </c>
      <c r="D10" s="657" t="str">
        <f t="shared" si="0"/>
        <v>Ne</v>
      </c>
      <c r="E10" s="724">
        <f t="shared" si="1"/>
        <v>0</v>
      </c>
      <c r="F10" s="1079">
        <f t="shared" si="2"/>
        <v>0</v>
      </c>
      <c r="G10" s="724"/>
      <c r="H10" s="724"/>
      <c r="I10" s="724"/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0</v>
      </c>
      <c r="T10" s="718"/>
      <c r="U10" s="718"/>
      <c r="V10" s="718"/>
      <c r="W10" s="718"/>
      <c r="X10" s="642">
        <f t="shared" si="4"/>
        <v>7</v>
      </c>
    </row>
    <row r="11" spans="1:24" x14ac:dyDescent="0.25">
      <c r="A11" s="1289">
        <v>2</v>
      </c>
      <c r="B11" s="1292"/>
      <c r="C11" s="1080">
        <v>44935</v>
      </c>
      <c r="D11" s="657" t="str">
        <f t="shared" si="0"/>
        <v>Po</v>
      </c>
      <c r="E11" s="724">
        <f t="shared" si="1"/>
        <v>0.45833333333333326</v>
      </c>
      <c r="F11" s="1079">
        <f t="shared" si="2"/>
        <v>0</v>
      </c>
      <c r="G11" s="724">
        <v>0.29166666666666669</v>
      </c>
      <c r="H11" s="724">
        <f t="shared" ref="H11:H16" si="5">TIME(1,0,0)</f>
        <v>4.1666666666666664E-2</v>
      </c>
      <c r="I11" s="724">
        <v>0.79166666666666663</v>
      </c>
      <c r="J11" s="654"/>
      <c r="K11" s="657"/>
      <c r="L11" s="654"/>
      <c r="M11" s="657"/>
      <c r="N11" s="654"/>
      <c r="O11" s="657"/>
      <c r="P11" s="714"/>
      <c r="Q11" s="1083">
        <f>(Q3*400)+W3</f>
        <v>93199.999999999985</v>
      </c>
      <c r="R11" s="1088">
        <f>SUM(R3*400)</f>
        <v>93200</v>
      </c>
      <c r="S11" s="719"/>
      <c r="T11" s="718"/>
      <c r="U11" s="718"/>
      <c r="V11" s="718"/>
      <c r="W11" s="718"/>
      <c r="X11" s="642">
        <f t="shared" si="4"/>
        <v>1</v>
      </c>
    </row>
    <row r="12" spans="1:24" x14ac:dyDescent="0.25">
      <c r="A12" s="1289"/>
      <c r="B12" s="1292"/>
      <c r="C12" s="1080">
        <v>44936</v>
      </c>
      <c r="D12" s="657" t="str">
        <f t="shared" si="0"/>
        <v>Út</v>
      </c>
      <c r="E12" s="724">
        <f t="shared" si="1"/>
        <v>0.45833333333333326</v>
      </c>
      <c r="F12" s="1079">
        <f t="shared" si="2"/>
        <v>0</v>
      </c>
      <c r="G12" s="724">
        <v>0.29166666666666669</v>
      </c>
      <c r="H12" s="724">
        <f t="shared" si="5"/>
        <v>4.1666666666666664E-2</v>
      </c>
      <c r="I12" s="724">
        <v>0.79166666666666663</v>
      </c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718"/>
      <c r="T12" s="718"/>
      <c r="U12" s="718"/>
      <c r="V12" s="718"/>
      <c r="W12" s="718"/>
      <c r="X12" s="642">
        <f t="shared" si="4"/>
        <v>2</v>
      </c>
    </row>
    <row r="13" spans="1:24" x14ac:dyDescent="0.25">
      <c r="A13" s="1289"/>
      <c r="B13" s="1292"/>
      <c r="C13" s="1080">
        <v>44937</v>
      </c>
      <c r="D13" s="657" t="str">
        <f t="shared" si="0"/>
        <v>St</v>
      </c>
      <c r="E13" s="724">
        <f>I13-G13-H13</f>
        <v>0.45833333333333326</v>
      </c>
      <c r="F13" s="1079">
        <f t="shared" si="2"/>
        <v>0</v>
      </c>
      <c r="G13" s="724">
        <v>0.29166666666666669</v>
      </c>
      <c r="H13" s="724">
        <f t="shared" si="5"/>
        <v>4.1666666666666664E-2</v>
      </c>
      <c r="I13" s="724">
        <v>0.79166666666666663</v>
      </c>
      <c r="J13" s="654"/>
      <c r="K13" s="657"/>
      <c r="L13" s="654"/>
      <c r="M13" s="657"/>
      <c r="N13" s="654"/>
      <c r="O13" s="657"/>
      <c r="P13" s="714"/>
      <c r="Q13" s="1083">
        <f>(Q11+Q21+Q19-Q23)-Q15-R25</f>
        <v>-60987.000000000015</v>
      </c>
      <c r="R13" s="1088">
        <f>(R11+R19+R21-R23)-R15-R25</f>
        <v>-61987</v>
      </c>
      <c r="S13" s="718"/>
      <c r="T13" s="718"/>
      <c r="U13" s="718"/>
      <c r="V13" s="718"/>
      <c r="W13" s="718"/>
      <c r="X13" s="642">
        <f t="shared" si="4"/>
        <v>3</v>
      </c>
    </row>
    <row r="14" spans="1:24" x14ac:dyDescent="0.25">
      <c r="A14" s="1289"/>
      <c r="B14" s="1292"/>
      <c r="C14" s="1080">
        <v>44938</v>
      </c>
      <c r="D14" s="657" t="str">
        <f t="shared" si="0"/>
        <v>Čt</v>
      </c>
      <c r="E14" s="724">
        <f t="shared" si="1"/>
        <v>0.45833333333333326</v>
      </c>
      <c r="F14" s="1079">
        <f t="shared" si="2"/>
        <v>0</v>
      </c>
      <c r="G14" s="724">
        <v>0.29166666666666669</v>
      </c>
      <c r="H14" s="724">
        <f t="shared" si="5"/>
        <v>4.1666666666666664E-2</v>
      </c>
      <c r="I14" s="724">
        <v>0.79166666666666663</v>
      </c>
      <c r="J14" s="654"/>
      <c r="K14" s="657"/>
      <c r="L14" s="654"/>
      <c r="M14" s="657"/>
      <c r="N14" s="654"/>
      <c r="O14" s="657"/>
      <c r="P14" s="714"/>
      <c r="Q14" s="654" t="s">
        <v>26</v>
      </c>
      <c r="R14" s="1088" t="s">
        <v>26</v>
      </c>
      <c r="S14" s="718"/>
      <c r="T14" s="718"/>
      <c r="U14" s="718"/>
      <c r="V14" s="718"/>
      <c r="W14" s="718"/>
      <c r="X14" s="642">
        <f t="shared" si="4"/>
        <v>4</v>
      </c>
    </row>
    <row r="15" spans="1:24" x14ac:dyDescent="0.25">
      <c r="A15" s="1289"/>
      <c r="B15" s="1292"/>
      <c r="C15" s="1080">
        <v>44939</v>
      </c>
      <c r="D15" s="657" t="str">
        <f t="shared" si="0"/>
        <v>Pá</v>
      </c>
      <c r="E15" s="724">
        <f t="shared" si="1"/>
        <v>0.45833333333333326</v>
      </c>
      <c r="F15" s="1079">
        <f t="shared" si="2"/>
        <v>0</v>
      </c>
      <c r="G15" s="724">
        <v>0.29166666666666669</v>
      </c>
      <c r="H15" s="724">
        <f t="shared" si="5"/>
        <v>4.1666666666666664E-2</v>
      </c>
      <c r="I15" s="724">
        <v>0.79166666666666663</v>
      </c>
      <c r="J15" s="654"/>
      <c r="K15" s="657"/>
      <c r="L15" s="654"/>
      <c r="M15" s="657"/>
      <c r="N15" s="654"/>
      <c r="O15" s="657"/>
      <c r="P15" s="714"/>
      <c r="Q15" s="1083">
        <f>(Q17*23.79)</f>
        <v>7137</v>
      </c>
      <c r="R15" s="1088">
        <f>(R17*23.79)</f>
        <v>7137</v>
      </c>
      <c r="S15" s="923" t="s">
        <v>458</v>
      </c>
      <c r="T15" s="1004">
        <f>R15+R23-R19</f>
        <v>125107</v>
      </c>
      <c r="U15" s="1007"/>
      <c r="V15" s="923" t="s">
        <v>462</v>
      </c>
      <c r="W15" s="1004">
        <f>R15+R23</f>
        <v>126119</v>
      </c>
      <c r="X15" s="642">
        <f t="shared" si="4"/>
        <v>5</v>
      </c>
    </row>
    <row r="16" spans="1:24" x14ac:dyDescent="0.25">
      <c r="A16" s="1289"/>
      <c r="B16" s="1292"/>
      <c r="C16" s="1080">
        <v>44940</v>
      </c>
      <c r="D16" s="657" t="str">
        <f t="shared" si="0"/>
        <v>So</v>
      </c>
      <c r="E16" s="724">
        <f t="shared" si="1"/>
        <v>0.22916666666666666</v>
      </c>
      <c r="F16" s="1079">
        <f t="shared" si="2"/>
        <v>0</v>
      </c>
      <c r="G16" s="724">
        <v>0.29166666666666669</v>
      </c>
      <c r="H16" s="724">
        <f t="shared" si="5"/>
        <v>4.1666666666666664E-2</v>
      </c>
      <c r="I16" s="724">
        <v>0.5625</v>
      </c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001" t="s">
        <v>459</v>
      </c>
      <c r="T16" s="1002">
        <f>R11</f>
        <v>93200</v>
      </c>
      <c r="U16" s="1008"/>
      <c r="V16" s="1001" t="s">
        <v>463</v>
      </c>
      <c r="W16" s="1002">
        <f>R11+R19+R21+Q29</f>
        <v>195127</v>
      </c>
      <c r="X16" s="642">
        <f t="shared" si="4"/>
        <v>6</v>
      </c>
    </row>
    <row r="17" spans="1:24" x14ac:dyDescent="0.25">
      <c r="A17" s="1289"/>
      <c r="B17" s="1292"/>
      <c r="C17" s="1080">
        <v>44941</v>
      </c>
      <c r="D17" s="657" t="str">
        <f t="shared" si="0"/>
        <v>Ne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084">
        <f>'01cash'!O45</f>
        <v>300</v>
      </c>
      <c r="R17" s="1089">
        <v>300</v>
      </c>
      <c r="S17" s="1001"/>
      <c r="T17" s="1003">
        <f>T16-T15</f>
        <v>-31907</v>
      </c>
      <c r="U17" s="1008"/>
      <c r="V17" s="1001" t="s">
        <v>513</v>
      </c>
      <c r="W17" s="1002">
        <f>W16-W15</f>
        <v>69008</v>
      </c>
      <c r="X17" s="642">
        <f t="shared" si="4"/>
        <v>7</v>
      </c>
    </row>
    <row r="18" spans="1:24" x14ac:dyDescent="0.25">
      <c r="A18" s="1290">
        <v>3</v>
      </c>
      <c r="B18" s="1291"/>
      <c r="C18" s="1080">
        <v>44942</v>
      </c>
      <c r="D18" s="657" t="str">
        <f t="shared" si="0"/>
        <v>Po</v>
      </c>
      <c r="E18" s="724">
        <f t="shared" si="1"/>
        <v>0.45833333333333326</v>
      </c>
      <c r="F18" s="1079">
        <f t="shared" si="2"/>
        <v>0</v>
      </c>
      <c r="G18" s="724">
        <v>0.29166666666666669</v>
      </c>
      <c r="H18" s="724">
        <f t="shared" ref="H18:H23" si="6">TIME(1,0,0)</f>
        <v>4.1666666666666664E-2</v>
      </c>
      <c r="I18" s="724">
        <v>0.79166666666666663</v>
      </c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002">
        <f>T17-S6-S8</f>
        <v>-31907</v>
      </c>
      <c r="T18" s="1001"/>
      <c r="U18" s="1009"/>
      <c r="V18" s="1001" t="s">
        <v>514</v>
      </c>
      <c r="W18" s="1002">
        <f>W17-S6-S8</f>
        <v>69008</v>
      </c>
      <c r="X18" s="642">
        <f t="shared" si="4"/>
        <v>1</v>
      </c>
    </row>
    <row r="19" spans="1:24" x14ac:dyDescent="0.25">
      <c r="A19" s="1290"/>
      <c r="B19" s="1291"/>
      <c r="C19" s="1080">
        <v>44943</v>
      </c>
      <c r="D19" s="657" t="str">
        <f t="shared" si="0"/>
        <v>Út</v>
      </c>
      <c r="E19" s="724">
        <f t="shared" si="1"/>
        <v>0.45833333333333326</v>
      </c>
      <c r="F19" s="1079">
        <f t="shared" si="2"/>
        <v>0</v>
      </c>
      <c r="G19" s="724">
        <v>0.29166666666666669</v>
      </c>
      <c r="H19" s="724">
        <f t="shared" si="6"/>
        <v>4.1666666666666664E-2</v>
      </c>
      <c r="I19" s="724">
        <v>0.79166666666666663</v>
      </c>
      <c r="J19" s="654"/>
      <c r="K19" s="657"/>
      <c r="L19" s="654"/>
      <c r="M19" s="657"/>
      <c r="N19" s="654"/>
      <c r="O19" s="657"/>
      <c r="P19" s="714"/>
      <c r="Q19" s="1083">
        <v>1012</v>
      </c>
      <c r="R19" s="1088">
        <v>1012</v>
      </c>
      <c r="S19" s="1001"/>
      <c r="T19" s="1001"/>
      <c r="U19" s="1008"/>
      <c r="V19" s="1001"/>
      <c r="W19" s="1001"/>
      <c r="X19" s="642">
        <f t="shared" si="4"/>
        <v>2</v>
      </c>
    </row>
    <row r="20" spans="1:24" x14ac:dyDescent="0.25">
      <c r="A20" s="1290"/>
      <c r="B20" s="1291"/>
      <c r="C20" s="1080">
        <v>44944</v>
      </c>
      <c r="D20" s="657" t="str">
        <f t="shared" si="0"/>
        <v>St</v>
      </c>
      <c r="E20" s="724">
        <f t="shared" si="1"/>
        <v>0.45833333333333326</v>
      </c>
      <c r="F20" s="1079">
        <f t="shared" si="2"/>
        <v>0</v>
      </c>
      <c r="G20" s="724">
        <v>0.29166666666666669</v>
      </c>
      <c r="H20" s="724">
        <f t="shared" si="6"/>
        <v>4.1666666666666664E-2</v>
      </c>
      <c r="I20" s="724">
        <v>0.79166666666666663</v>
      </c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001"/>
      <c r="T20" s="1001"/>
      <c r="U20" s="1008"/>
      <c r="V20" s="1001"/>
      <c r="W20" s="1001"/>
      <c r="X20" s="642">
        <f t="shared" si="4"/>
        <v>3</v>
      </c>
    </row>
    <row r="21" spans="1:24" x14ac:dyDescent="0.25">
      <c r="A21" s="1290"/>
      <c r="B21" s="1291"/>
      <c r="C21" s="1080">
        <v>44945</v>
      </c>
      <c r="D21" s="657" t="str">
        <f t="shared" si="0"/>
        <v>Čt</v>
      </c>
      <c r="E21" s="724">
        <f t="shared" si="1"/>
        <v>0.45833333333333326</v>
      </c>
      <c r="F21" s="1079">
        <f t="shared" si="2"/>
        <v>0</v>
      </c>
      <c r="G21" s="724">
        <v>0.29166666666666669</v>
      </c>
      <c r="H21" s="724">
        <f t="shared" si="6"/>
        <v>4.1666666666666664E-2</v>
      </c>
      <c r="I21" s="724">
        <v>0.79166666666666663</v>
      </c>
      <c r="J21" s="654"/>
      <c r="K21" s="657"/>
      <c r="L21" s="654"/>
      <c r="M21" s="657"/>
      <c r="N21" s="654"/>
      <c r="O21" s="657"/>
      <c r="P21" s="714"/>
      <c r="Q21" s="1083">
        <v>2740</v>
      </c>
      <c r="R21" s="1088">
        <v>2740</v>
      </c>
      <c r="S21" s="1001"/>
      <c r="T21" s="1001"/>
      <c r="U21" s="1008"/>
      <c r="V21" s="1001"/>
      <c r="W21" s="1001"/>
      <c r="X21" s="642">
        <f t="shared" si="4"/>
        <v>4</v>
      </c>
    </row>
    <row r="22" spans="1:24" x14ac:dyDescent="0.25">
      <c r="A22" s="1290"/>
      <c r="B22" s="1291"/>
      <c r="C22" s="1080">
        <v>44946</v>
      </c>
      <c r="D22" s="657" t="str">
        <f t="shared" si="0"/>
        <v>Pá</v>
      </c>
      <c r="E22" s="724">
        <f t="shared" si="1"/>
        <v>0.45833333333333326</v>
      </c>
      <c r="F22" s="1079">
        <f t="shared" si="2"/>
        <v>0</v>
      </c>
      <c r="G22" s="724">
        <v>0.29166666666666669</v>
      </c>
      <c r="H22" s="724">
        <f t="shared" si="6"/>
        <v>4.1666666666666664E-2</v>
      </c>
      <c r="I22" s="724">
        <v>0.79166666666666663</v>
      </c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001"/>
      <c r="T22" s="1001"/>
      <c r="U22" s="1008"/>
      <c r="V22" s="1001"/>
      <c r="W22" s="1001"/>
      <c r="X22" s="642">
        <f t="shared" si="4"/>
        <v>5</v>
      </c>
    </row>
    <row r="23" spans="1:24" x14ac:dyDescent="0.25">
      <c r="A23" s="1290"/>
      <c r="B23" s="1291"/>
      <c r="C23" s="1080">
        <v>44947</v>
      </c>
      <c r="D23" s="657" t="str">
        <f t="shared" si="0"/>
        <v>So</v>
      </c>
      <c r="E23" s="724">
        <f t="shared" si="1"/>
        <v>0.29166666666666663</v>
      </c>
      <c r="F23" s="1079">
        <f t="shared" si="2"/>
        <v>0</v>
      </c>
      <c r="G23" s="724">
        <v>0.29166666666666669</v>
      </c>
      <c r="H23" s="724">
        <f t="shared" si="6"/>
        <v>4.1666666666666664E-2</v>
      </c>
      <c r="I23" s="724">
        <v>0.625</v>
      </c>
      <c r="J23" s="654"/>
      <c r="K23" s="657"/>
      <c r="L23" s="654"/>
      <c r="M23" s="657"/>
      <c r="N23" s="654"/>
      <c r="O23" s="657"/>
      <c r="P23" s="714"/>
      <c r="Q23" s="1083">
        <v>117982</v>
      </c>
      <c r="R23" s="1088">
        <v>118982</v>
      </c>
      <c r="S23" s="1001"/>
      <c r="T23" s="1017"/>
      <c r="U23" s="718"/>
      <c r="V23" s="1001"/>
      <c r="W23" s="1001"/>
      <c r="X23" s="642">
        <f t="shared" si="4"/>
        <v>6</v>
      </c>
    </row>
    <row r="24" spans="1:24" x14ac:dyDescent="0.25">
      <c r="A24" s="1290"/>
      <c r="B24" s="1291"/>
      <c r="C24" s="1080">
        <v>44948</v>
      </c>
      <c r="D24" s="657" t="str">
        <f t="shared" si="0"/>
        <v>Ne</v>
      </c>
      <c r="E24" s="724">
        <f t="shared" si="1"/>
        <v>0</v>
      </c>
      <c r="F24" s="1079">
        <f t="shared" si="2"/>
        <v>0</v>
      </c>
      <c r="G24" s="724"/>
      <c r="H24" s="724"/>
      <c r="I24" s="724"/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015">
        <f>S18-R25</f>
        <v>-64727</v>
      </c>
      <c r="T24" s="1018"/>
      <c r="U24" s="1015">
        <f>W18-Q27</f>
        <v>-61987</v>
      </c>
      <c r="V24" s="1001"/>
      <c r="W24" s="1001"/>
      <c r="X24" s="642">
        <f t="shared" si="4"/>
        <v>7</v>
      </c>
    </row>
    <row r="25" spans="1:24" x14ac:dyDescent="0.25">
      <c r="A25" s="1289">
        <v>4</v>
      </c>
      <c r="B25" s="1292"/>
      <c r="C25" s="1080">
        <v>44949</v>
      </c>
      <c r="D25" s="657" t="str">
        <f t="shared" si="0"/>
        <v>Po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-61987</v>
      </c>
      <c r="R25" s="1088">
        <f>Q27-Q29</f>
        <v>32820</v>
      </c>
      <c r="S25" s="1020"/>
      <c r="T25" s="1019"/>
      <c r="U25" s="1006"/>
      <c r="V25" s="1006"/>
      <c r="W25" s="1006"/>
      <c r="X25" s="642">
        <f t="shared" si="4"/>
        <v>1</v>
      </c>
    </row>
    <row r="26" spans="1:24" x14ac:dyDescent="0.25">
      <c r="A26" s="1289"/>
      <c r="B26" s="1292"/>
      <c r="C26" s="1080">
        <v>44950</v>
      </c>
      <c r="D26" s="657" t="str">
        <f t="shared" si="0"/>
        <v>Út</v>
      </c>
      <c r="E26" s="724">
        <f t="shared" si="1"/>
        <v>0</v>
      </c>
      <c r="F26" s="1079">
        <f t="shared" si="2"/>
        <v>0</v>
      </c>
      <c r="G26" s="724"/>
      <c r="H26" s="724"/>
      <c r="I26" s="724"/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718"/>
      <c r="T26" s="718"/>
      <c r="U26" s="718"/>
      <c r="V26" s="718"/>
      <c r="W26" s="718"/>
      <c r="X26" s="642">
        <f t="shared" si="4"/>
        <v>2</v>
      </c>
    </row>
    <row r="27" spans="1:24" x14ac:dyDescent="0.25">
      <c r="A27" s="1289"/>
      <c r="B27" s="1292"/>
      <c r="C27" s="1080">
        <v>44951</v>
      </c>
      <c r="D27" s="657" t="str">
        <f t="shared" si="0"/>
        <v>St</v>
      </c>
      <c r="E27" s="724">
        <f t="shared" si="1"/>
        <v>0</v>
      </c>
      <c r="F27" s="1079">
        <f t="shared" si="2"/>
        <v>0</v>
      </c>
      <c r="G27" s="724"/>
      <c r="H27" s="724"/>
      <c r="I27" s="724"/>
      <c r="J27" s="654"/>
      <c r="K27" s="657"/>
      <c r="L27" s="654"/>
      <c r="M27" s="657"/>
      <c r="N27" s="654"/>
      <c r="O27" s="657"/>
      <c r="P27" s="714"/>
      <c r="Q27" s="1083">
        <v>130995</v>
      </c>
      <c r="R27" s="1088"/>
      <c r="S27" s="718"/>
      <c r="T27" s="718"/>
      <c r="U27" s="718"/>
      <c r="V27" s="718"/>
      <c r="W27" s="718"/>
      <c r="X27" s="642">
        <f t="shared" si="4"/>
        <v>3</v>
      </c>
    </row>
    <row r="28" spans="1:24" x14ac:dyDescent="0.25">
      <c r="A28" s="1289"/>
      <c r="B28" s="1292"/>
      <c r="C28" s="1080">
        <v>44952</v>
      </c>
      <c r="D28" s="657" t="str">
        <f t="shared" si="0"/>
        <v>Čt</v>
      </c>
      <c r="E28" s="724">
        <f t="shared" si="1"/>
        <v>0</v>
      </c>
      <c r="F28" s="1079">
        <f t="shared" si="2"/>
        <v>0</v>
      </c>
      <c r="G28" s="724"/>
      <c r="H28" s="724"/>
      <c r="I28" s="724"/>
      <c r="J28" s="654"/>
      <c r="K28" s="657"/>
      <c r="L28" s="654"/>
      <c r="M28" s="657"/>
      <c r="N28" s="654"/>
      <c r="O28" s="657"/>
      <c r="P28" s="714"/>
      <c r="Q28" s="654" t="s">
        <v>373</v>
      </c>
      <c r="R28" s="1026"/>
      <c r="S28" s="718"/>
      <c r="T28" s="718"/>
      <c r="U28" s="718"/>
      <c r="V28" s="718"/>
      <c r="W28" s="718"/>
      <c r="X28" s="642">
        <f t="shared" si="4"/>
        <v>4</v>
      </c>
    </row>
    <row r="29" spans="1:24" x14ac:dyDescent="0.25">
      <c r="A29" s="1289"/>
      <c r="B29" s="1292"/>
      <c r="C29" s="1080">
        <v>44953</v>
      </c>
      <c r="D29" s="657" t="str">
        <f t="shared" si="0"/>
        <v>Pá</v>
      </c>
      <c r="E29" s="724">
        <f t="shared" si="1"/>
        <v>0</v>
      </c>
      <c r="F29" s="1079">
        <f t="shared" si="2"/>
        <v>0</v>
      </c>
      <c r="G29" s="724"/>
      <c r="H29" s="724"/>
      <c r="I29" s="724"/>
      <c r="J29" s="654"/>
      <c r="K29" s="657"/>
      <c r="L29" s="654"/>
      <c r="M29" s="657"/>
      <c r="N29" s="654"/>
      <c r="O29" s="657"/>
      <c r="P29" s="714"/>
      <c r="Q29" s="1095">
        <f>'12hod22'!O26</f>
        <v>98175</v>
      </c>
      <c r="R29" s="1026"/>
      <c r="S29" s="718"/>
      <c r="T29" s="718"/>
      <c r="U29" s="718"/>
      <c r="V29" s="718"/>
      <c r="W29" s="718"/>
      <c r="X29" s="642">
        <f t="shared" si="4"/>
        <v>5</v>
      </c>
    </row>
    <row r="30" spans="1:24" x14ac:dyDescent="0.25">
      <c r="A30" s="1289"/>
      <c r="B30" s="1292"/>
      <c r="C30" s="1080">
        <v>44954</v>
      </c>
      <c r="D30" s="657" t="str">
        <f t="shared" si="0"/>
        <v>So</v>
      </c>
      <c r="E30" s="724">
        <f t="shared" si="1"/>
        <v>0</v>
      </c>
      <c r="F30" s="1079">
        <f t="shared" si="2"/>
        <v>0</v>
      </c>
      <c r="G30" s="724"/>
      <c r="H30" s="724"/>
      <c r="I30" s="724"/>
      <c r="J30" s="654"/>
      <c r="K30" s="657"/>
      <c r="L30" s="654"/>
      <c r="M30" s="657"/>
      <c r="N30" s="654"/>
      <c r="O30" s="657"/>
      <c r="P30" s="714"/>
      <c r="Q30" s="1083"/>
      <c r="R30" s="1083"/>
      <c r="S30" s="718"/>
      <c r="T30" s="718"/>
      <c r="U30" s="718"/>
      <c r="V30" s="718"/>
      <c r="W30" s="718"/>
      <c r="X30" s="642">
        <f t="shared" si="4"/>
        <v>6</v>
      </c>
    </row>
    <row r="31" spans="1:24" x14ac:dyDescent="0.25">
      <c r="A31" s="1289"/>
      <c r="B31" s="1292"/>
      <c r="C31" s="1080">
        <v>44955</v>
      </c>
      <c r="D31" s="657" t="str">
        <f t="shared" si="0"/>
        <v>Ne</v>
      </c>
      <c r="E31" s="724">
        <f t="shared" si="1"/>
        <v>0</v>
      </c>
      <c r="F31" s="1079">
        <f t="shared" si="2"/>
        <v>0</v>
      </c>
      <c r="G31" s="724"/>
      <c r="H31" s="724"/>
      <c r="I31" s="724"/>
      <c r="J31" s="654"/>
      <c r="K31" s="657"/>
      <c r="L31" s="654"/>
      <c r="M31" s="657"/>
      <c r="N31" s="654"/>
      <c r="O31" s="657"/>
      <c r="P31" s="714"/>
      <c r="Q31" s="918"/>
      <c r="R31" s="1091"/>
      <c r="S31" s="718"/>
      <c r="T31" s="718"/>
      <c r="U31" s="718"/>
      <c r="V31" s="718"/>
      <c r="W31" s="718"/>
      <c r="X31" s="642">
        <f t="shared" si="4"/>
        <v>7</v>
      </c>
    </row>
    <row r="32" spans="1:24" x14ac:dyDescent="0.25">
      <c r="A32" s="1290">
        <v>5</v>
      </c>
      <c r="B32" s="1291"/>
      <c r="C32" s="1080">
        <v>44956</v>
      </c>
      <c r="D32" s="657" t="str">
        <f t="shared" si="0"/>
        <v>Po</v>
      </c>
      <c r="E32" s="724">
        <f t="shared" si="1"/>
        <v>0</v>
      </c>
      <c r="F32" s="1079">
        <f t="shared" si="2"/>
        <v>0</v>
      </c>
      <c r="G32" s="724"/>
      <c r="H32" s="724"/>
      <c r="I32" s="724"/>
      <c r="J32" s="654"/>
      <c r="K32" s="657"/>
      <c r="L32" s="654"/>
      <c r="M32" s="657"/>
      <c r="N32" s="654"/>
      <c r="O32" s="657"/>
      <c r="P32" s="714"/>
      <c r="Q32" s="654"/>
      <c r="R32" s="1026"/>
      <c r="S32" s="718"/>
      <c r="T32" s="718"/>
      <c r="U32" s="718"/>
      <c r="V32" s="718"/>
      <c r="W32" s="718"/>
      <c r="X32" s="642">
        <f t="shared" si="4"/>
        <v>1</v>
      </c>
    </row>
    <row r="33" spans="1:24" x14ac:dyDescent="0.25">
      <c r="A33" s="1290"/>
      <c r="B33" s="1291"/>
      <c r="C33" s="1080">
        <v>44957</v>
      </c>
      <c r="D33" s="657" t="str">
        <f t="shared" si="0"/>
        <v>Út</v>
      </c>
      <c r="E33" s="724">
        <f t="shared" si="1"/>
        <v>0</v>
      </c>
      <c r="F33" s="1079">
        <f t="shared" si="2"/>
        <v>0</v>
      </c>
      <c r="G33" s="724"/>
      <c r="H33" s="724"/>
      <c r="I33" s="724"/>
      <c r="J33" s="654"/>
      <c r="K33" s="657"/>
      <c r="L33" s="654"/>
      <c r="M33" s="657"/>
      <c r="N33" s="654"/>
      <c r="O33" s="657"/>
      <c r="P33" s="714"/>
      <c r="Q33" s="654"/>
      <c r="R33" s="1026"/>
      <c r="S33" s="718"/>
      <c r="T33" s="718"/>
      <c r="U33" s="718"/>
      <c r="V33" s="718"/>
      <c r="W33" s="718"/>
      <c r="X33" s="642">
        <f t="shared" si="4"/>
        <v>2</v>
      </c>
    </row>
    <row r="34" spans="1:24" x14ac:dyDescent="0.25">
      <c r="A34" s="1290"/>
      <c r="B34" s="1291"/>
      <c r="C34" s="1080">
        <v>44958</v>
      </c>
      <c r="D34" s="657" t="str">
        <f t="shared" si="0"/>
        <v>St</v>
      </c>
      <c r="E34" s="724">
        <f t="shared" si="1"/>
        <v>0</v>
      </c>
      <c r="F34" s="1079">
        <f t="shared" si="2"/>
        <v>0</v>
      </c>
      <c r="G34" s="724"/>
      <c r="H34" s="724"/>
      <c r="I34" s="724"/>
      <c r="J34" s="654"/>
      <c r="K34" s="657"/>
      <c r="L34" s="654"/>
      <c r="M34" s="657"/>
      <c r="N34" s="654"/>
      <c r="O34" s="657"/>
      <c r="P34" s="714"/>
      <c r="Q34" s="654"/>
      <c r="R34" s="1026"/>
      <c r="S34" s="718"/>
      <c r="T34" s="718"/>
      <c r="U34" s="718"/>
      <c r="V34" s="718"/>
      <c r="W34" s="718"/>
      <c r="X34" s="642">
        <f t="shared" si="4"/>
        <v>3</v>
      </c>
    </row>
    <row r="35" spans="1:24" x14ac:dyDescent="0.25">
      <c r="A35" s="1290"/>
      <c r="B35" s="1291"/>
      <c r="C35" s="1080">
        <v>44959</v>
      </c>
      <c r="D35" s="657" t="str">
        <f t="shared" si="0"/>
        <v>Čt</v>
      </c>
      <c r="E35" s="724">
        <f t="shared" si="1"/>
        <v>0</v>
      </c>
      <c r="F35" s="1079">
        <f t="shared" si="2"/>
        <v>0</v>
      </c>
      <c r="G35" s="724"/>
      <c r="H35" s="724"/>
      <c r="I35" s="724"/>
      <c r="J35" s="654"/>
      <c r="K35" s="657"/>
      <c r="L35" s="654"/>
      <c r="M35" s="657"/>
      <c r="N35" s="654"/>
      <c r="O35" s="657"/>
      <c r="P35" s="714"/>
      <c r="Q35" s="654"/>
      <c r="R35" s="1026"/>
      <c r="S35" s="718"/>
      <c r="T35" s="718"/>
      <c r="U35" s="718"/>
      <c r="V35" s="718"/>
      <c r="W35" s="718"/>
      <c r="X35" s="642">
        <f t="shared" si="4"/>
        <v>4</v>
      </c>
    </row>
    <row r="36" spans="1:24" ht="15.75" thickBot="1" x14ac:dyDescent="0.3">
      <c r="A36" s="1290"/>
      <c r="B36" s="1291"/>
      <c r="C36" s="1080">
        <v>44960</v>
      </c>
      <c r="D36" s="658" t="str">
        <f t="shared" si="0"/>
        <v>Pá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718"/>
      <c r="T36" s="718"/>
      <c r="U36" s="718"/>
      <c r="V36" s="718"/>
      <c r="W36" s="718"/>
      <c r="X36" s="642">
        <f t="shared" si="4"/>
        <v>5</v>
      </c>
    </row>
    <row r="40" spans="1:24" x14ac:dyDescent="0.25">
      <c r="E40" s="733"/>
      <c r="G40" s="732"/>
      <c r="H40" s="732"/>
    </row>
    <row r="41" spans="1:24" x14ac:dyDescent="0.25">
      <c r="Q41" s="732">
        <f>SUM(E3:E33)</f>
        <v>6.4166666666666652</v>
      </c>
      <c r="R41" t="s">
        <v>315</v>
      </c>
    </row>
    <row r="42" spans="1:24" x14ac:dyDescent="0.25">
      <c r="Q42" s="732">
        <v>0</v>
      </c>
      <c r="R42" t="s">
        <v>316</v>
      </c>
    </row>
    <row r="43" spans="1:24" x14ac:dyDescent="0.25">
      <c r="Q43" s="731">
        <f>TIME(0,30,0)</f>
        <v>2.0833333333333332E-2</v>
      </c>
    </row>
    <row r="44" spans="1:24" x14ac:dyDescent="0.25">
      <c r="Q44" s="737"/>
    </row>
    <row r="46" spans="1:24" x14ac:dyDescent="0.25">
      <c r="E46" s="731"/>
    </row>
  </sheetData>
  <mergeCells count="10">
    <mergeCell ref="A25:A31"/>
    <mergeCell ref="A32:A36"/>
    <mergeCell ref="B4:B10"/>
    <mergeCell ref="B11:B17"/>
    <mergeCell ref="B18:B24"/>
    <mergeCell ref="B25:B31"/>
    <mergeCell ref="B32:B36"/>
    <mergeCell ref="A11:A17"/>
    <mergeCell ref="A4:A10"/>
    <mergeCell ref="A18:A24"/>
  </mergeCells>
  <pageMargins left="0.7" right="0.7" top="0.75" bottom="0.75" header="0.3" footer="0.3"/>
  <drawing r:id="rId1"/>
  <tableParts count="1">
    <tablePart r:id="rId2"/>
  </tableParts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2B7809-7CF4-8F46-B647-94CE54B4D7B0}">
  <dimension ref="A1:AP61"/>
  <sheetViews>
    <sheetView topLeftCell="AF1" zoomScaleNormal="60" zoomScaleSheetLayoutView="100" workbookViewId="0">
      <selection activeCell="D3" sqref="D3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7109375" bestFit="1" customWidth="1"/>
    <col min="4" max="4" width="10.5703125" bestFit="1" customWidth="1"/>
    <col min="5" max="5" width="9" bestFit="1" customWidth="1"/>
    <col min="6" max="6" width="10.5703125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11.28515625" customWidth="1"/>
    <col min="17" max="17" width="15.285156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4" customWidth="1"/>
    <col min="37" max="37" width="13.140625" customWidth="1"/>
    <col min="38" max="38" width="14.28515625" customWidth="1"/>
    <col min="41" max="41" width="11.42578125" bestFit="1" customWidth="1"/>
    <col min="42" max="42" width="12.7109375" bestFit="1" customWidth="1"/>
  </cols>
  <sheetData>
    <row r="1" spans="1:42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705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  <c r="AO1" s="1211"/>
      <c r="AP1" s="879"/>
    </row>
    <row r="2" spans="1:42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544</v>
      </c>
      <c r="R2" s="966" t="s">
        <v>441</v>
      </c>
      <c r="S2" s="967" t="s">
        <v>470</v>
      </c>
      <c r="T2" s="966" t="s">
        <v>442</v>
      </c>
      <c r="U2" s="964" t="s">
        <v>471</v>
      </c>
      <c r="V2" s="966" t="s">
        <v>443</v>
      </c>
      <c r="W2" s="964" t="s">
        <v>461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  <c r="AO2" s="1211"/>
      <c r="AP2" s="879"/>
    </row>
    <row r="3" spans="1:42" ht="16.5" thickTop="1" thickBot="1" x14ac:dyDescent="0.3">
      <c r="A3" s="695">
        <v>501</v>
      </c>
      <c r="B3" s="979">
        <v>45295</v>
      </c>
      <c r="C3" s="945"/>
      <c r="D3" s="619">
        <v>140.01</v>
      </c>
      <c r="E3" s="979">
        <v>45300</v>
      </c>
      <c r="F3" s="952"/>
      <c r="G3" s="975"/>
      <c r="H3" s="952"/>
      <c r="I3" s="619"/>
      <c r="J3" s="978"/>
      <c r="K3" s="952"/>
      <c r="L3" s="959"/>
      <c r="M3" s="981" t="s">
        <v>719</v>
      </c>
      <c r="N3" s="952">
        <v>7.9</v>
      </c>
      <c r="O3" s="984">
        <f>AG44-AK6-AI3</f>
        <v>666.01</v>
      </c>
      <c r="P3" s="945">
        <f>AE44-AJ6</f>
        <v>5000</v>
      </c>
      <c r="Q3" s="984">
        <v>100</v>
      </c>
      <c r="R3" s="937"/>
      <c r="S3" s="984"/>
      <c r="T3" s="937"/>
      <c r="U3" s="984"/>
      <c r="V3" s="937"/>
      <c r="W3" s="989"/>
      <c r="X3" s="937"/>
      <c r="Y3" s="989"/>
      <c r="Z3" s="937"/>
      <c r="AA3" s="984"/>
      <c r="AB3" s="937"/>
      <c r="AC3" s="990"/>
      <c r="AD3" s="937"/>
      <c r="AE3" s="993"/>
      <c r="AF3" s="997" t="s">
        <v>119</v>
      </c>
      <c r="AG3" s="963">
        <f>'06cash'!AI3</f>
        <v>0</v>
      </c>
      <c r="AH3" s="299">
        <v>0</v>
      </c>
      <c r="AI3" s="300">
        <v>65</v>
      </c>
      <c r="AJ3" s="301">
        <f>AH6+AJ6</f>
        <v>501</v>
      </c>
      <c r="AK3" s="302">
        <f>AK6+AI6</f>
        <v>1432.17</v>
      </c>
      <c r="AO3" s="1211"/>
      <c r="AP3" s="879"/>
    </row>
    <row r="4" spans="1:42" ht="19.5" thickBot="1" x14ac:dyDescent="0.3">
      <c r="A4" s="856"/>
      <c r="B4" s="979"/>
      <c r="C4" s="946"/>
      <c r="D4" s="618">
        <v>120.03</v>
      </c>
      <c r="E4" s="979">
        <v>45302</v>
      </c>
      <c r="F4" s="953"/>
      <c r="G4" s="976"/>
      <c r="H4" s="953"/>
      <c r="I4" s="618"/>
      <c r="J4" s="979"/>
      <c r="K4" s="953"/>
      <c r="L4" s="960"/>
      <c r="M4" s="982" t="s">
        <v>720</v>
      </c>
      <c r="N4" s="953">
        <v>13.1</v>
      </c>
      <c r="O4" s="976"/>
      <c r="P4" s="946"/>
      <c r="Q4" s="986">
        <v>100</v>
      </c>
      <c r="R4" s="938"/>
      <c r="S4" s="986"/>
      <c r="T4" s="938"/>
      <c r="U4" s="986"/>
      <c r="V4" s="938"/>
      <c r="W4" s="990"/>
      <c r="X4" s="938"/>
      <c r="Y4" s="990"/>
      <c r="Z4" s="938"/>
      <c r="AA4" s="986"/>
      <c r="AB4" s="938"/>
      <c r="AC4" s="1051"/>
      <c r="AD4" s="938"/>
      <c r="AE4" s="994">
        <v>5000</v>
      </c>
      <c r="AF4" s="997">
        <v>45299</v>
      </c>
      <c r="AG4" s="963">
        <v>0</v>
      </c>
      <c r="AH4" s="1282" t="s">
        <v>63</v>
      </c>
      <c r="AI4" s="1245"/>
      <c r="AJ4" s="1246" t="s">
        <v>64</v>
      </c>
      <c r="AK4" s="1237"/>
      <c r="AO4" s="1211"/>
      <c r="AP4" s="879"/>
    </row>
    <row r="5" spans="1:42" ht="15.75" x14ac:dyDescent="0.25">
      <c r="A5" s="856"/>
      <c r="B5" s="979"/>
      <c r="C5" s="946"/>
      <c r="D5" s="618">
        <v>123.14</v>
      </c>
      <c r="E5" s="979">
        <v>45310</v>
      </c>
      <c r="F5" s="953"/>
      <c r="G5" s="976"/>
      <c r="H5" s="953"/>
      <c r="I5" s="618"/>
      <c r="J5" s="979"/>
      <c r="K5" s="953"/>
      <c r="L5" s="960"/>
      <c r="M5" s="982" t="s">
        <v>723</v>
      </c>
      <c r="N5" s="953">
        <v>4.99</v>
      </c>
      <c r="O5" s="976"/>
      <c r="P5" s="946"/>
      <c r="Q5" s="1070">
        <v>100</v>
      </c>
      <c r="R5" s="1068"/>
      <c r="S5" s="986"/>
      <c r="T5" s="938"/>
      <c r="U5" s="986"/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>
        <v>45300</v>
      </c>
      <c r="AG5" s="963">
        <v>200</v>
      </c>
      <c r="AH5" s="119" t="s">
        <v>50</v>
      </c>
      <c r="AI5" s="313" t="s">
        <v>52</v>
      </c>
      <c r="AJ5" s="121" t="s">
        <v>50</v>
      </c>
      <c r="AK5" s="122" t="s">
        <v>52</v>
      </c>
      <c r="AO5" s="1211"/>
      <c r="AP5" s="879"/>
    </row>
    <row r="6" spans="1:42" ht="15.75" thickBot="1" x14ac:dyDescent="0.3">
      <c r="A6" s="856"/>
      <c r="B6" s="979"/>
      <c r="C6" s="946"/>
      <c r="D6" s="618"/>
      <c r="E6" s="979">
        <v>45321</v>
      </c>
      <c r="F6" s="953">
        <v>120</v>
      </c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>
        <v>100</v>
      </c>
      <c r="R6" s="1068">
        <v>45321</v>
      </c>
      <c r="S6" s="986"/>
      <c r="T6" s="938"/>
      <c r="U6" s="986"/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>
        <v>45306</v>
      </c>
      <c r="AG6" s="963">
        <v>200</v>
      </c>
      <c r="AH6" s="612">
        <f>A44+L44</f>
        <v>501</v>
      </c>
      <c r="AI6" s="317">
        <f>D44+H44+K44+N45</f>
        <v>383.17999999999995</v>
      </c>
      <c r="AJ6" s="128">
        <f>L45+C44+U48+Q47</f>
        <v>0</v>
      </c>
      <c r="AK6" s="129">
        <f>F44+G44+I44+M45+Q44+S44+W44+Y44+AA44+AC44+Y47+Y50+AA47+AA50+AC47+AC50+U44</f>
        <v>1048.99</v>
      </c>
      <c r="AO6" s="1211"/>
      <c r="AP6" s="879"/>
    </row>
    <row r="7" spans="1:42" ht="19.5" thickBot="1" x14ac:dyDescent="0.3">
      <c r="A7" s="856"/>
      <c r="B7" s="979"/>
      <c r="C7" s="946"/>
      <c r="D7" s="618"/>
      <c r="E7" s="979">
        <v>45333</v>
      </c>
      <c r="F7" s="953">
        <v>160</v>
      </c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70">
        <v>100</v>
      </c>
      <c r="R7" s="1068"/>
      <c r="S7" s="986"/>
      <c r="T7" s="938"/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>
        <v>45307</v>
      </c>
      <c r="AG7" s="963">
        <v>200</v>
      </c>
      <c r="AH7" s="613" t="s">
        <v>66</v>
      </c>
      <c r="AI7" s="321" t="s">
        <v>67</v>
      </c>
      <c r="AO7" s="1211"/>
      <c r="AP7" s="879"/>
    </row>
    <row r="8" spans="1:42" x14ac:dyDescent="0.25">
      <c r="A8" s="856"/>
      <c r="B8" s="979"/>
      <c r="C8" s="946"/>
      <c r="D8" s="618"/>
      <c r="E8" s="979">
        <v>45339</v>
      </c>
      <c r="F8" s="953">
        <v>143</v>
      </c>
      <c r="G8" s="976"/>
      <c r="H8" s="953"/>
      <c r="I8" s="618"/>
      <c r="J8" s="979"/>
      <c r="K8" s="953"/>
      <c r="L8" s="960"/>
      <c r="M8" s="982"/>
      <c r="N8" s="953"/>
      <c r="O8" s="976"/>
      <c r="P8" s="946"/>
      <c r="Q8" s="1070">
        <v>100</v>
      </c>
      <c r="R8" s="1068"/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>
        <v>45313</v>
      </c>
      <c r="AG8" s="1151">
        <v>200</v>
      </c>
      <c r="AH8" s="326">
        <v>0</v>
      </c>
      <c r="AI8" s="327">
        <f>E44</f>
        <v>0</v>
      </c>
      <c r="AO8" s="1211"/>
      <c r="AP8" s="879"/>
    </row>
    <row r="9" spans="1:42" ht="15.75" thickBot="1" x14ac:dyDescent="0.3">
      <c r="A9" s="856"/>
      <c r="B9" s="979"/>
      <c r="C9" s="946"/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/>
      <c r="R9" s="938"/>
      <c r="S9" s="976"/>
      <c r="T9" s="938"/>
      <c r="U9" s="1070"/>
      <c r="V9" s="1068"/>
      <c r="W9" s="990"/>
      <c r="X9" s="938"/>
      <c r="Y9" s="990"/>
      <c r="Z9" s="938"/>
      <c r="AA9" s="986"/>
      <c r="AB9" s="938"/>
      <c r="AC9" s="990"/>
      <c r="AD9" s="938"/>
      <c r="AE9" s="1143"/>
      <c r="AF9" s="997" t="s">
        <v>722</v>
      </c>
      <c r="AG9" s="1151">
        <v>580</v>
      </c>
      <c r="AH9" s="1244">
        <f>AH8-AI8</f>
        <v>0</v>
      </c>
      <c r="AI9" s="1222"/>
      <c r="AO9" s="1210"/>
      <c r="AP9" s="879"/>
    </row>
    <row r="10" spans="1:42" x14ac:dyDescent="0.25">
      <c r="A10" s="1155"/>
      <c r="B10" s="979"/>
      <c r="C10" s="1060"/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/>
      <c r="R10" s="1068"/>
      <c r="S10" s="1069"/>
      <c r="T10" s="1068"/>
      <c r="U10" s="1070"/>
      <c r="V10" s="1068"/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 t="s">
        <v>721</v>
      </c>
      <c r="AG10" s="1151">
        <v>300</v>
      </c>
      <c r="AH10" s="610"/>
      <c r="AI10" s="1052"/>
    </row>
    <row r="11" spans="1:42" x14ac:dyDescent="0.25">
      <c r="A11" s="1155"/>
      <c r="B11" s="979"/>
      <c r="C11" s="1060"/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/>
      <c r="R11" s="1068"/>
      <c r="S11" s="1069"/>
      <c r="T11" s="1068"/>
      <c r="U11" s="1070"/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 t="s">
        <v>561</v>
      </c>
      <c r="AG11" s="963">
        <v>100</v>
      </c>
      <c r="AH11" s="610"/>
      <c r="AI11" s="1052"/>
    </row>
    <row r="12" spans="1:42" x14ac:dyDescent="0.25">
      <c r="A12" s="1155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/>
      <c r="R12" s="1068"/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073"/>
      <c r="AG12" s="1216"/>
      <c r="AH12" s="1171"/>
      <c r="AI12" s="1203"/>
      <c r="AJ12" s="1206"/>
      <c r="AK12" s="1204"/>
      <c r="AL12" s="1207"/>
    </row>
    <row r="13" spans="1:42" x14ac:dyDescent="0.25">
      <c r="A13" s="1155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/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1201"/>
      <c r="AH13" s="1171"/>
      <c r="AI13" s="1203"/>
      <c r="AJ13" s="1206"/>
      <c r="AK13" s="1204"/>
      <c r="AL13" s="1207"/>
    </row>
    <row r="14" spans="1:42" x14ac:dyDescent="0.25">
      <c r="A14" s="856"/>
      <c r="B14" s="979"/>
      <c r="C14" s="946"/>
      <c r="D14" s="663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1070"/>
      <c r="V14" s="1068"/>
      <c r="W14" s="990"/>
      <c r="X14" s="938"/>
      <c r="Y14" s="990"/>
      <c r="Z14" s="938"/>
      <c r="AA14" s="976"/>
      <c r="AB14" s="938"/>
      <c r="AC14" s="991"/>
      <c r="AD14" s="938"/>
      <c r="AE14" s="994"/>
      <c r="AF14" s="1073"/>
      <c r="AG14" s="1073"/>
      <c r="AH14" s="1171"/>
      <c r="AI14" s="1203"/>
      <c r="AJ14" s="1206"/>
      <c r="AK14" s="1204"/>
      <c r="AL14" s="1207"/>
    </row>
    <row r="15" spans="1:42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1070"/>
      <c r="V15" s="106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1201"/>
      <c r="AH15" s="1171"/>
      <c r="AI15" s="1204"/>
      <c r="AJ15" s="1206"/>
      <c r="AK15" s="1204"/>
      <c r="AL15" s="1207"/>
    </row>
    <row r="16" spans="1:42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1070"/>
      <c r="V16" s="106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1201"/>
      <c r="AH16" s="1171"/>
      <c r="AI16" s="1204"/>
      <c r="AJ16" s="1206"/>
      <c r="AK16" s="1204"/>
      <c r="AL16" s="1207"/>
    </row>
    <row r="17" spans="1:38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1201"/>
      <c r="AH17" s="1171"/>
      <c r="AI17" s="1204"/>
      <c r="AJ17" s="1206"/>
      <c r="AK17" s="1204"/>
      <c r="AL17" s="1207"/>
    </row>
    <row r="18" spans="1:38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1201"/>
      <c r="AH18" s="1171"/>
      <c r="AI18" s="1204"/>
      <c r="AJ18" s="1206"/>
      <c r="AK18" s="1204"/>
      <c r="AL18" s="1207"/>
    </row>
    <row r="19" spans="1:38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1201"/>
      <c r="AH19" s="1171"/>
      <c r="AI19" s="1204"/>
      <c r="AJ19" s="1206"/>
      <c r="AK19" s="1204"/>
      <c r="AL19" s="1207"/>
    </row>
    <row r="20" spans="1:38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1070"/>
      <c r="V20" s="1068"/>
      <c r="W20" s="990"/>
      <c r="X20" s="938"/>
      <c r="Y20" s="990"/>
      <c r="Z20" s="938"/>
      <c r="AA20" s="986"/>
      <c r="AB20" s="938"/>
      <c r="AC20" s="991"/>
      <c r="AD20" s="938"/>
      <c r="AE20" s="994"/>
      <c r="AF20" s="1073"/>
      <c r="AG20" s="1201"/>
      <c r="AH20" s="1171"/>
      <c r="AI20" s="1204"/>
      <c r="AJ20" s="1208"/>
      <c r="AK20" s="1204"/>
      <c r="AL20" s="1207"/>
    </row>
    <row r="21" spans="1:38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1070"/>
      <c r="V21" s="106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1201"/>
      <c r="AH21" s="1171"/>
      <c r="AI21" s="1204"/>
      <c r="AJ21" s="1208"/>
      <c r="AK21" s="1204"/>
      <c r="AL21" s="1207"/>
    </row>
    <row r="22" spans="1:38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1201"/>
      <c r="AH22" s="1171"/>
      <c r="AI22" s="1204"/>
      <c r="AJ22" s="1206"/>
      <c r="AK22" s="1204"/>
      <c r="AL22" s="1207"/>
    </row>
    <row r="23" spans="1:38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1201"/>
      <c r="AH23" s="1171"/>
      <c r="AI23" s="1204"/>
      <c r="AJ23" s="1206"/>
      <c r="AK23" s="1204"/>
      <c r="AL23" s="1207"/>
    </row>
    <row r="24" spans="1:38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1201"/>
      <c r="AH24" s="1171"/>
      <c r="AI24" s="1204"/>
      <c r="AJ24" s="1209"/>
      <c r="AK24" s="1204"/>
      <c r="AL24" s="1207"/>
    </row>
    <row r="25" spans="1:38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1201"/>
      <c r="AH25" s="1171"/>
      <c r="AI25" s="1204"/>
      <c r="AJ25" s="1209"/>
      <c r="AK25" s="1204"/>
      <c r="AL25" s="1207"/>
    </row>
    <row r="26" spans="1:38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1201"/>
      <c r="AH26" s="1171"/>
      <c r="AI26" s="1204"/>
      <c r="AJ26" s="1206"/>
      <c r="AK26" s="1204"/>
      <c r="AL26" s="1207"/>
    </row>
    <row r="27" spans="1:38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1201"/>
      <c r="AH27" s="1171"/>
      <c r="AI27" s="1204"/>
      <c r="AJ27" s="1206"/>
      <c r="AK27" s="1204"/>
      <c r="AL27" s="1207"/>
    </row>
    <row r="28" spans="1:38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1201"/>
      <c r="AH28" s="1171"/>
      <c r="AI28" s="1204"/>
      <c r="AJ28" s="1206"/>
      <c r="AK28" s="1204"/>
      <c r="AL28" s="1207"/>
    </row>
    <row r="29" spans="1:38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1171"/>
      <c r="AI29" s="1204"/>
      <c r="AJ29" s="1206"/>
      <c r="AK29" s="1204"/>
      <c r="AL29" s="1207"/>
    </row>
    <row r="30" spans="1:38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1171"/>
      <c r="AI30" s="1205"/>
      <c r="AJ30" s="1206"/>
      <c r="AK30" s="1204"/>
      <c r="AL30" s="1207"/>
    </row>
    <row r="31" spans="1:38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1171"/>
      <c r="AI31" s="1205"/>
      <c r="AJ31" s="1206"/>
      <c r="AK31" s="1204"/>
      <c r="AL31" s="1207"/>
    </row>
    <row r="32" spans="1:38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1171"/>
      <c r="AI32" s="1204"/>
      <c r="AJ32" s="1206"/>
      <c r="AK32" s="1204"/>
      <c r="AL32" s="1207"/>
    </row>
    <row r="33" spans="1:38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1171"/>
      <c r="AI33" s="1205"/>
      <c r="AJ33" s="1206"/>
      <c r="AK33" s="1204"/>
      <c r="AL33" s="1207"/>
    </row>
    <row r="34" spans="1:38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1171"/>
      <c r="AI34" s="1204"/>
      <c r="AJ34" s="1206"/>
      <c r="AK34" s="1204"/>
      <c r="AL34" s="1207"/>
    </row>
    <row r="35" spans="1:38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1171"/>
      <c r="AI35" s="1204"/>
      <c r="AJ35" s="1206"/>
      <c r="AK35" s="1204"/>
      <c r="AL35" s="1207"/>
    </row>
    <row r="36" spans="1:38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1171"/>
      <c r="AI36" s="1204"/>
      <c r="AJ36" s="1206"/>
      <c r="AK36" s="1204"/>
      <c r="AL36" s="1207"/>
    </row>
    <row r="37" spans="1:38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8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8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  <c r="AI39" s="1204"/>
      <c r="AJ39" s="1206"/>
      <c r="AK39" s="1204"/>
    </row>
    <row r="40" spans="1:38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8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8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8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8" x14ac:dyDescent="0.25">
      <c r="A44" s="872">
        <f>SUM(A3:A42)</f>
        <v>501</v>
      </c>
      <c r="B44" s="626"/>
      <c r="C44" s="949">
        <f>SUM(C3:C42)</f>
        <v>0</v>
      </c>
      <c r="D44" s="950">
        <f>SUM(D3:D42)</f>
        <v>383.17999999999995</v>
      </c>
      <c r="E44" s="629">
        <v>0</v>
      </c>
      <c r="F44" s="956">
        <f>SUM(F3:F42)</f>
        <v>423</v>
      </c>
      <c r="G44" s="936">
        <f>SUM(G3:G42)</f>
        <v>0</v>
      </c>
      <c r="H44" s="957">
        <f>SUM(H3:H42)</f>
        <v>0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666.01</v>
      </c>
      <c r="P44" s="1078" t="s">
        <v>395</v>
      </c>
      <c r="Q44" s="1045">
        <f>SUM(Q3:Q38)</f>
        <v>600</v>
      </c>
      <c r="R44" s="1078" t="s">
        <v>103</v>
      </c>
      <c r="S44" s="1045">
        <f>SUM(S3:S42)</f>
        <v>0</v>
      </c>
      <c r="T44" s="1078" t="s">
        <v>103</v>
      </c>
      <c r="U44" s="1045">
        <f>SUM(U3:U42)</f>
        <v>0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5000</v>
      </c>
      <c r="AF44" s="629"/>
      <c r="AG44" s="957">
        <f>SUM(AG3:AG42)</f>
        <v>1780</v>
      </c>
      <c r="AH44" s="614"/>
    </row>
    <row r="45" spans="1:38" ht="15.75" thickBot="1" x14ac:dyDescent="0.3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N3+N4+N5+N6+N7+N8+N9+N10</f>
        <v>25.990000000000002</v>
      </c>
      <c r="N45" s="1059"/>
      <c r="O45" s="1023">
        <v>300</v>
      </c>
      <c r="P45" s="935" t="s">
        <v>573</v>
      </c>
      <c r="Q45" s="1118">
        <v>300</v>
      </c>
      <c r="R45" s="935" t="str">
        <f>P45</f>
        <v>Leden</v>
      </c>
      <c r="S45" s="1023"/>
      <c r="T45" s="935" t="str">
        <f>P45</f>
        <v>Leden</v>
      </c>
      <c r="U45" s="1023">
        <v>0</v>
      </c>
      <c r="V45" s="935" t="str">
        <f>P45</f>
        <v>Leden</v>
      </c>
      <c r="W45" s="1024">
        <v>0</v>
      </c>
      <c r="X45" s="935" t="str">
        <f>P45</f>
        <v>Leden</v>
      </c>
      <c r="Y45" s="1024">
        <v>0</v>
      </c>
      <c r="Z45" s="935" t="str">
        <f>P45</f>
        <v>Leden</v>
      </c>
      <c r="AA45" s="1024">
        <v>0</v>
      </c>
      <c r="AB45" s="935" t="str">
        <f>P45</f>
        <v>Leden</v>
      </c>
      <c r="AC45" s="1024">
        <v>0</v>
      </c>
      <c r="AD45" s="935" t="str">
        <f>P45</f>
        <v>Leden</v>
      </c>
      <c r="AE45" s="951"/>
      <c r="AF45" s="635"/>
      <c r="AG45" s="935"/>
      <c r="AH45" s="614"/>
    </row>
    <row r="46" spans="1:38" ht="16.5" thickTop="1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>
        <f>O44-O45</f>
        <v>366.01</v>
      </c>
      <c r="P46" s="971" t="s">
        <v>588</v>
      </c>
      <c r="Q46" s="973">
        <f>Q44-Q45</f>
        <v>300</v>
      </c>
      <c r="R46" s="971" t="str">
        <f>P46</f>
        <v xml:space="preserve">Únor </v>
      </c>
      <c r="S46" s="973">
        <f>S44-S45</f>
        <v>0</v>
      </c>
      <c r="T46" s="971" t="str">
        <f>P46</f>
        <v xml:space="preserve">Únor </v>
      </c>
      <c r="U46" s="973">
        <f>U44-U45</f>
        <v>0</v>
      </c>
      <c r="V46" s="971" t="str">
        <f>P46</f>
        <v xml:space="preserve">Únor </v>
      </c>
      <c r="W46" s="974">
        <f>W44-W45</f>
        <v>0</v>
      </c>
      <c r="X46" s="971" t="str">
        <f>P46</f>
        <v xml:space="preserve">Únor </v>
      </c>
      <c r="Y46" s="974">
        <f>Y44-Y45</f>
        <v>0</v>
      </c>
      <c r="Z46" s="971" t="str">
        <f>P46</f>
        <v xml:space="preserve">Únor </v>
      </c>
      <c r="AA46" s="974">
        <f>AA44-AA45</f>
        <v>0</v>
      </c>
      <c r="AB46" s="971" t="str">
        <f>P46</f>
        <v xml:space="preserve">Únor </v>
      </c>
      <c r="AC46" s="1022">
        <f>AC44-AC45</f>
        <v>0</v>
      </c>
      <c r="AD46" s="971" t="str">
        <f>P46</f>
        <v xml:space="preserve">Únor </v>
      </c>
      <c r="AE46" s="972"/>
      <c r="AF46" s="970"/>
      <c r="AG46" s="971"/>
      <c r="AH46" s="614"/>
    </row>
    <row r="47" spans="1:38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826"/>
      <c r="P47" s="610"/>
      <c r="Q47" s="1217"/>
      <c r="R47" s="1031"/>
      <c r="S47" s="1032"/>
      <c r="T47" s="610"/>
      <c r="U47" s="1212"/>
      <c r="V47" s="3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8" x14ac:dyDescent="0.25">
      <c r="Q48" s="1033"/>
      <c r="R48" s="1034"/>
      <c r="S48" s="1035"/>
      <c r="U48" s="1213"/>
      <c r="V48" s="610"/>
      <c r="X48" s="610"/>
      <c r="Y48" s="1076">
        <v>0</v>
      </c>
      <c r="Z48" s="935" t="str">
        <f>P45</f>
        <v>Leden</v>
      </c>
      <c r="AA48" s="1024">
        <v>0</v>
      </c>
      <c r="AB48" s="935" t="str">
        <f>P45</f>
        <v>Leden</v>
      </c>
      <c r="AC48" s="1024">
        <v>0</v>
      </c>
      <c r="AD48" s="935" t="str">
        <f>P45</f>
        <v>Leden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 xml:space="preserve">Únor </v>
      </c>
      <c r="AA49" s="974">
        <f>AA47-AA48</f>
        <v>0</v>
      </c>
      <c r="AB49" s="971" t="str">
        <f>P46</f>
        <v xml:space="preserve">Únor </v>
      </c>
      <c r="AC49" s="974">
        <f>AC47-AC48</f>
        <v>0</v>
      </c>
      <c r="AD49" s="971" t="str">
        <f>P46</f>
        <v xml:space="preserve">Únor </v>
      </c>
    </row>
    <row r="50" spans="17:31" ht="15.75" thickTop="1" x14ac:dyDescent="0.25">
      <c r="R50" s="1215" t="s">
        <v>709</v>
      </c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929">
        <v>40</v>
      </c>
      <c r="R51" t="s">
        <v>649</v>
      </c>
      <c r="S51" s="1035"/>
      <c r="X51" s="610"/>
      <c r="Y51" s="1076">
        <v>0</v>
      </c>
      <c r="Z51" s="935" t="str">
        <f>P45</f>
        <v>Leden</v>
      </c>
      <c r="AA51" s="1024">
        <v>0</v>
      </c>
      <c r="AB51" s="935" t="str">
        <f>P45</f>
        <v>Leden</v>
      </c>
      <c r="AC51" s="1024">
        <v>0</v>
      </c>
      <c r="AD51" s="935" t="str">
        <f>P45</f>
        <v>Leden</v>
      </c>
    </row>
    <row r="52" spans="17:31" ht="15.75" thickBot="1" x14ac:dyDescent="0.3">
      <c r="Q52" s="929">
        <v>40</v>
      </c>
      <c r="R52" t="s">
        <v>710</v>
      </c>
      <c r="S52" s="1035"/>
      <c r="X52" s="610"/>
      <c r="Y52" s="1077">
        <f>Y50-Y51</f>
        <v>0</v>
      </c>
      <c r="Z52" s="971" t="str">
        <f>P46</f>
        <v xml:space="preserve">Únor </v>
      </c>
      <c r="AA52" s="974">
        <f>AA50-AA51</f>
        <v>0</v>
      </c>
      <c r="AB52" s="971" t="str">
        <f>P46</f>
        <v xml:space="preserve">Únor </v>
      </c>
      <c r="AC52" s="974">
        <f>AC50-AC51</f>
        <v>0</v>
      </c>
      <c r="AD52" s="971" t="str">
        <f>P46</f>
        <v xml:space="preserve">Únor 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43:C43"/>
    <mergeCell ref="G43:H43"/>
    <mergeCell ref="I43:K43"/>
    <mergeCell ref="L43:N43"/>
    <mergeCell ref="O43:P43"/>
    <mergeCell ref="Q43:R43"/>
    <mergeCell ref="AE1:AG1"/>
    <mergeCell ref="AH1:AI1"/>
    <mergeCell ref="AJ1:AK1"/>
    <mergeCell ref="AH4:AI4"/>
    <mergeCell ref="AJ4:AK4"/>
    <mergeCell ref="AH9:AI9"/>
    <mergeCell ref="Q1:AD1"/>
    <mergeCell ref="AE43:AG43"/>
    <mergeCell ref="S43:T43"/>
    <mergeCell ref="U43:V43"/>
    <mergeCell ref="W43:X43"/>
    <mergeCell ref="Y43:Z43"/>
    <mergeCell ref="AA43:AB43"/>
    <mergeCell ref="AC43:AD43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pageSetup scale="0" firstPageNumber="0" fitToWidth="0" fitToHeight="0" orientation="portrait" horizontalDpi="0" verticalDpi="0" copies="0"/>
  <tableParts count="1">
    <tablePart r:id="rId1"/>
  </tableParts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899AB4-3C46-F14A-850E-D2A3A1F5FFC1}">
  <dimension ref="A1:V46"/>
  <sheetViews>
    <sheetView zoomScaleNormal="60" zoomScaleSheetLayoutView="100" workbookViewId="0">
      <selection activeCell="D26" sqref="D26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1" spans="1:22" ht="21" customHeight="1" x14ac:dyDescent="0.25"/>
    <row r="2" spans="1:22" ht="15.75" thickBot="1" x14ac:dyDescent="0.3">
      <c r="A2" s="650" t="s">
        <v>0</v>
      </c>
      <c r="B2" s="650" t="s">
        <v>1</v>
      </c>
      <c r="C2" s="650" t="s">
        <v>127</v>
      </c>
      <c r="D2" s="650" t="s">
        <v>128</v>
      </c>
      <c r="E2" s="650" t="s">
        <v>286</v>
      </c>
      <c r="F2" s="650" t="s">
        <v>317</v>
      </c>
      <c r="G2" s="650" t="s">
        <v>285</v>
      </c>
      <c r="H2" s="650" t="s">
        <v>4</v>
      </c>
      <c r="I2" s="650" t="s">
        <v>5</v>
      </c>
      <c r="J2" s="650" t="s">
        <v>6</v>
      </c>
      <c r="K2" s="650" t="s">
        <v>7</v>
      </c>
      <c r="L2" s="650" t="s">
        <v>265</v>
      </c>
      <c r="M2" s="650" t="s">
        <v>8</v>
      </c>
      <c r="N2" s="650" t="s">
        <v>129</v>
      </c>
      <c r="O2" s="650" t="s">
        <v>9</v>
      </c>
      <c r="P2" s="650" t="s">
        <v>155</v>
      </c>
      <c r="Q2" s="650" t="s">
        <v>10</v>
      </c>
      <c r="R2" s="650" t="s">
        <v>11</v>
      </c>
      <c r="S2" s="650" t="s">
        <v>12</v>
      </c>
      <c r="T2" s="650" t="s">
        <v>13</v>
      </c>
      <c r="U2" s="650" t="s">
        <v>14</v>
      </c>
      <c r="V2" s="642"/>
    </row>
    <row r="3" spans="1:22" ht="15.75" thickBot="1" x14ac:dyDescent="0.3">
      <c r="A3" s="1080">
        <v>44958</v>
      </c>
      <c r="B3" s="656" t="str">
        <f t="shared" ref="B3:B36" si="0">CHOOSE(WEEKDAY(V3),"Po","Út","St","Čt","Pá","So","Ne")</f>
        <v>St</v>
      </c>
      <c r="C3" s="724"/>
      <c r="D3" s="1079"/>
      <c r="E3" s="724"/>
      <c r="F3" s="724"/>
      <c r="G3" s="724"/>
      <c r="H3" s="654"/>
      <c r="I3" s="657"/>
      <c r="J3" s="654"/>
      <c r="K3" s="656"/>
      <c r="L3" s="654"/>
      <c r="M3" s="657"/>
      <c r="N3" s="713"/>
      <c r="O3" s="1081">
        <f>(O5+O7)</f>
        <v>0</v>
      </c>
      <c r="P3" s="656">
        <v>0</v>
      </c>
      <c r="Q3" s="1094">
        <f>'01hod23'!S6</f>
        <v>0</v>
      </c>
      <c r="R3" s="644" t="s">
        <v>586</v>
      </c>
      <c r="S3" s="1092" t="str">
        <f>'01hod23'!U6</f>
        <v>Výplata za Leden</v>
      </c>
      <c r="T3" s="875" t="str">
        <f>'01hod23'!V6</f>
        <v>xx.02.2023</v>
      </c>
      <c r="U3" s="722">
        <f>T8*20</f>
        <v>0</v>
      </c>
      <c r="V3" s="642">
        <f t="shared" ref="V3:V33" si="1">WEEKDAY(A3,2)</f>
        <v>3</v>
      </c>
    </row>
    <row r="4" spans="1:22" x14ac:dyDescent="0.25">
      <c r="A4" s="1080">
        <v>44959</v>
      </c>
      <c r="B4" s="657" t="str">
        <f t="shared" si="0"/>
        <v>Čt</v>
      </c>
      <c r="C4" s="724"/>
      <c r="D4" s="1079"/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654" t="s">
        <v>19</v>
      </c>
      <c r="P4" s="657" t="s">
        <v>19</v>
      </c>
      <c r="Q4" s="738">
        <v>0</v>
      </c>
      <c r="R4" s="611"/>
      <c r="S4" s="611" t="s">
        <v>48</v>
      </c>
      <c r="T4" s="874"/>
      <c r="U4" s="718"/>
      <c r="V4" s="642">
        <f t="shared" si="1"/>
        <v>4</v>
      </c>
    </row>
    <row r="5" spans="1:22" x14ac:dyDescent="0.25">
      <c r="A5" s="1080">
        <v>44960</v>
      </c>
      <c r="B5" s="657" t="str">
        <f t="shared" si="0"/>
        <v>Pá</v>
      </c>
      <c r="C5" s="724"/>
      <c r="D5" s="1079"/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1082">
        <f>O41*24</f>
        <v>0</v>
      </c>
      <c r="P5" s="657">
        <v>0</v>
      </c>
      <c r="Q5" s="738">
        <v>0</v>
      </c>
      <c r="R5" s="611"/>
      <c r="S5" s="611" t="s">
        <v>158</v>
      </c>
      <c r="T5" s="646"/>
      <c r="U5" s="718"/>
      <c r="V5" s="642">
        <f t="shared" si="1"/>
        <v>5</v>
      </c>
    </row>
    <row r="6" spans="1:22" x14ac:dyDescent="0.25">
      <c r="A6" s="1080">
        <v>44961</v>
      </c>
      <c r="B6" s="657" t="str">
        <f t="shared" si="0"/>
        <v>So</v>
      </c>
      <c r="C6" s="724"/>
      <c r="D6" s="1079"/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654" t="s">
        <v>14</v>
      </c>
      <c r="P6" s="657" t="s">
        <v>14</v>
      </c>
      <c r="Q6" s="738">
        <v>0</v>
      </c>
      <c r="R6" s="611"/>
      <c r="S6" s="611" t="s">
        <v>310</v>
      </c>
      <c r="T6" s="646" t="s">
        <v>597</v>
      </c>
      <c r="U6" s="718"/>
      <c r="V6" s="642">
        <f t="shared" si="1"/>
        <v>6</v>
      </c>
    </row>
    <row r="7" spans="1:22" ht="15.75" thickBot="1" x14ac:dyDescent="0.3">
      <c r="A7" s="1080">
        <v>44962</v>
      </c>
      <c r="B7" s="657" t="str">
        <f t="shared" si="0"/>
        <v>Ne</v>
      </c>
      <c r="C7" s="724"/>
      <c r="D7" s="1079"/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1082">
        <f>O42*24</f>
        <v>0</v>
      </c>
      <c r="P7" s="657">
        <v>0</v>
      </c>
      <c r="Q7" s="712" t="s">
        <v>134</v>
      </c>
      <c r="R7" s="647"/>
      <c r="S7" s="647" t="s">
        <v>48</v>
      </c>
      <c r="T7" s="648"/>
      <c r="U7" s="718"/>
      <c r="V7" s="642">
        <f t="shared" si="1"/>
        <v>7</v>
      </c>
    </row>
    <row r="8" spans="1:22" x14ac:dyDescent="0.25">
      <c r="A8" s="1080">
        <v>44963</v>
      </c>
      <c r="B8" s="657" t="str">
        <f t="shared" si="0"/>
        <v>Po</v>
      </c>
      <c r="C8" s="724"/>
      <c r="D8" s="1079"/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20</v>
      </c>
      <c r="P8" s="1026" t="s">
        <v>20</v>
      </c>
      <c r="Q8" s="721">
        <f>Q4+Q5</f>
        <v>0</v>
      </c>
      <c r="R8" s="718"/>
      <c r="S8" s="718"/>
      <c r="T8" s="718"/>
      <c r="U8" s="718"/>
      <c r="V8" s="642">
        <f t="shared" si="1"/>
        <v>1</v>
      </c>
    </row>
    <row r="9" spans="1:22" x14ac:dyDescent="0.25">
      <c r="A9" s="1080">
        <v>44964</v>
      </c>
      <c r="B9" s="657" t="str">
        <f t="shared" si="0"/>
        <v>Út</v>
      </c>
      <c r="C9" s="724"/>
      <c r="D9" s="1079"/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509</v>
      </c>
      <c r="P9" s="1026" t="s">
        <v>509</v>
      </c>
      <c r="Q9" s="657" t="s">
        <v>229</v>
      </c>
      <c r="R9" s="718"/>
      <c r="S9" s="718"/>
      <c r="T9" s="718"/>
      <c r="U9" s="718"/>
      <c r="V9" s="642">
        <f t="shared" si="1"/>
        <v>2</v>
      </c>
    </row>
    <row r="10" spans="1:22" x14ac:dyDescent="0.25">
      <c r="A10" s="1080">
        <v>44965</v>
      </c>
      <c r="B10" s="657" t="str">
        <f t="shared" si="0"/>
        <v>St</v>
      </c>
      <c r="C10" s="724"/>
      <c r="D10" s="1079"/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654" t="s">
        <v>23</v>
      </c>
      <c r="P10" s="1026" t="s">
        <v>23</v>
      </c>
      <c r="Q10" s="657">
        <f>SUM(Q3:Q5)</f>
        <v>0</v>
      </c>
      <c r="R10" s="718"/>
      <c r="S10" s="718"/>
      <c r="T10" s="718"/>
      <c r="U10" s="718"/>
      <c r="V10" s="642">
        <f t="shared" si="1"/>
        <v>3</v>
      </c>
    </row>
    <row r="11" spans="1:22" x14ac:dyDescent="0.25">
      <c r="A11" s="1080">
        <v>44966</v>
      </c>
      <c r="B11" s="657" t="str">
        <f t="shared" si="0"/>
        <v>Čt</v>
      </c>
      <c r="C11" s="724"/>
      <c r="D11" s="1079"/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1083">
        <f>(O3*400)+U3</f>
        <v>0</v>
      </c>
      <c r="P11" s="1088">
        <f>SUM(P3*400)</f>
        <v>0</v>
      </c>
      <c r="Q11" s="719"/>
      <c r="R11" s="718"/>
      <c r="S11" s="718"/>
      <c r="T11" s="718"/>
      <c r="U11" s="718"/>
      <c r="V11" s="642">
        <f t="shared" si="1"/>
        <v>4</v>
      </c>
    </row>
    <row r="12" spans="1:22" x14ac:dyDescent="0.25">
      <c r="A12" s="1080">
        <v>44967</v>
      </c>
      <c r="B12" s="657" t="str">
        <f t="shared" si="0"/>
        <v>Pá</v>
      </c>
      <c r="C12" s="724"/>
      <c r="D12" s="1079"/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654" t="s">
        <v>361</v>
      </c>
      <c r="P12" s="1026" t="s">
        <v>361</v>
      </c>
      <c r="Q12" s="718"/>
      <c r="R12" s="718"/>
      <c r="S12" s="718"/>
      <c r="T12" s="718"/>
      <c r="U12" s="718"/>
      <c r="V12" s="642">
        <f t="shared" si="1"/>
        <v>5</v>
      </c>
    </row>
    <row r="13" spans="1:22" x14ac:dyDescent="0.25">
      <c r="A13" s="1080">
        <v>44968</v>
      </c>
      <c r="B13" s="657" t="str">
        <f t="shared" si="0"/>
        <v>So</v>
      </c>
      <c r="C13" s="724"/>
      <c r="D13" s="1079"/>
      <c r="E13" s="724"/>
      <c r="F13" s="724"/>
      <c r="G13" s="724"/>
      <c r="H13" s="654"/>
      <c r="I13" s="657"/>
      <c r="J13" s="654"/>
      <c r="K13" s="657"/>
      <c r="L13" s="654"/>
      <c r="M13" s="657"/>
      <c r="N13" s="714"/>
      <c r="O13" s="1083">
        <f>(O11+O21+O19-O23)-O15-P25</f>
        <v>126872.2721</v>
      </c>
      <c r="P13" s="1088">
        <f>(P11+P19+P21-P23)-P15-P25</f>
        <v>130995</v>
      </c>
      <c r="Q13" s="718"/>
      <c r="R13" s="718"/>
      <c r="S13" s="718"/>
      <c r="T13" s="718"/>
      <c r="U13" s="718"/>
      <c r="V13" s="642">
        <f t="shared" si="1"/>
        <v>6</v>
      </c>
    </row>
    <row r="14" spans="1:22" x14ac:dyDescent="0.25">
      <c r="A14" s="1080">
        <v>44969</v>
      </c>
      <c r="B14" s="657" t="str">
        <f t="shared" si="0"/>
        <v>Ne</v>
      </c>
      <c r="C14" s="724"/>
      <c r="D14" s="1079"/>
      <c r="E14" s="724"/>
      <c r="F14" s="724"/>
      <c r="G14" s="724"/>
      <c r="H14" s="654"/>
      <c r="I14" s="657"/>
      <c r="J14" s="654"/>
      <c r="K14" s="657"/>
      <c r="L14" s="654"/>
      <c r="M14" s="657"/>
      <c r="N14" s="714"/>
      <c r="O14" s="654" t="s">
        <v>26</v>
      </c>
      <c r="P14" s="1088" t="s">
        <v>26</v>
      </c>
      <c r="Q14" s="718"/>
      <c r="R14" s="718"/>
      <c r="S14" s="718"/>
      <c r="T14" s="718"/>
      <c r="U14" s="718"/>
      <c r="V14" s="642">
        <f t="shared" si="1"/>
        <v>7</v>
      </c>
    </row>
    <row r="15" spans="1:22" x14ac:dyDescent="0.25">
      <c r="A15" s="1080">
        <v>44970</v>
      </c>
      <c r="B15" s="657" t="str">
        <f t="shared" si="0"/>
        <v>Po</v>
      </c>
      <c r="C15" s="724"/>
      <c r="D15" s="1079"/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1083">
        <f>(O17*23.79)</f>
        <v>7874.7279000000053</v>
      </c>
      <c r="P15" s="1088">
        <f>(P17*23.79)</f>
        <v>0</v>
      </c>
      <c r="Q15" s="923" t="s">
        <v>458</v>
      </c>
      <c r="R15" s="1004">
        <f>P15+P23-P19</f>
        <v>0</v>
      </c>
      <c r="S15" s="1007"/>
      <c r="T15" s="923" t="s">
        <v>462</v>
      </c>
      <c r="U15" s="1004">
        <f>P15+P23</f>
        <v>0</v>
      </c>
      <c r="V15" s="642">
        <f t="shared" si="1"/>
        <v>1</v>
      </c>
    </row>
    <row r="16" spans="1:22" x14ac:dyDescent="0.25">
      <c r="A16" s="1080">
        <v>44971</v>
      </c>
      <c r="B16" s="657" t="str">
        <f t="shared" si="0"/>
        <v>Út</v>
      </c>
      <c r="C16" s="724"/>
      <c r="D16" s="1079"/>
      <c r="E16" s="724"/>
      <c r="F16" s="724"/>
      <c r="G16" s="724"/>
      <c r="H16" s="654"/>
      <c r="I16" s="657"/>
      <c r="J16" s="654"/>
      <c r="K16" s="657"/>
      <c r="L16" s="654"/>
      <c r="M16" s="657"/>
      <c r="N16" s="714"/>
      <c r="O16" s="654" t="s">
        <v>29</v>
      </c>
      <c r="P16" s="1026" t="s">
        <v>29</v>
      </c>
      <c r="Q16" s="1001" t="s">
        <v>459</v>
      </c>
      <c r="R16" s="1002">
        <f>P11</f>
        <v>0</v>
      </c>
      <c r="S16" s="1008"/>
      <c r="T16" s="1001" t="s">
        <v>463</v>
      </c>
      <c r="U16" s="1002">
        <f>P11+P19+P21+O29</f>
        <v>130995</v>
      </c>
      <c r="V16" s="642">
        <f t="shared" si="1"/>
        <v>2</v>
      </c>
    </row>
    <row r="17" spans="1:22" x14ac:dyDescent="0.25">
      <c r="A17" s="1080">
        <v>44972</v>
      </c>
      <c r="B17" s="657" t="str">
        <f t="shared" si="0"/>
        <v>St</v>
      </c>
      <c r="C17" s="724"/>
      <c r="D17" s="1079"/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1084">
        <f>'01cash'!O44</f>
        <v>331.01000000000022</v>
      </c>
      <c r="P17" s="1089">
        <v>0</v>
      </c>
      <c r="Q17" s="1001"/>
      <c r="R17" s="1003">
        <f>R16-R15</f>
        <v>0</v>
      </c>
      <c r="S17" s="1008"/>
      <c r="T17" s="1001" t="s">
        <v>513</v>
      </c>
      <c r="U17" s="1002">
        <f>U16-U15</f>
        <v>130995</v>
      </c>
      <c r="V17" s="642">
        <f t="shared" si="1"/>
        <v>3</v>
      </c>
    </row>
    <row r="18" spans="1:22" x14ac:dyDescent="0.25">
      <c r="A18" s="1080">
        <v>44973</v>
      </c>
      <c r="B18" s="657" t="str">
        <f t="shared" si="0"/>
        <v>Čt</v>
      </c>
      <c r="C18" s="724"/>
      <c r="D18" s="1079"/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654" t="s">
        <v>31</v>
      </c>
      <c r="P18" s="1026" t="s">
        <v>31</v>
      </c>
      <c r="Q18" s="1002">
        <f>R17-Q6-Q8</f>
        <v>0</v>
      </c>
      <c r="R18" s="1001"/>
      <c r="S18" s="1009"/>
      <c r="T18" s="1001" t="s">
        <v>514</v>
      </c>
      <c r="U18" s="1002">
        <f>U17-Q6-Q8</f>
        <v>130995</v>
      </c>
      <c r="V18" s="642">
        <f t="shared" si="1"/>
        <v>4</v>
      </c>
    </row>
    <row r="19" spans="1:22" x14ac:dyDescent="0.25">
      <c r="A19" s="1080">
        <v>44974</v>
      </c>
      <c r="B19" s="657" t="str">
        <f t="shared" si="0"/>
        <v>Pá</v>
      </c>
      <c r="C19" s="724"/>
      <c r="D19" s="1079"/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>
        <v>1012</v>
      </c>
      <c r="P19" s="1088">
        <v>0</v>
      </c>
      <c r="Q19" s="1001"/>
      <c r="R19" s="1001"/>
      <c r="S19" s="1008"/>
      <c r="T19" s="1001"/>
      <c r="U19" s="1001"/>
      <c r="V19" s="642">
        <f t="shared" si="1"/>
        <v>5</v>
      </c>
    </row>
    <row r="20" spans="1:22" x14ac:dyDescent="0.25">
      <c r="A20" s="1080">
        <v>44975</v>
      </c>
      <c r="B20" s="657" t="str">
        <f t="shared" si="0"/>
        <v>So</v>
      </c>
      <c r="C20" s="724"/>
      <c r="D20" s="1079"/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 t="s">
        <v>33</v>
      </c>
      <c r="P20" s="1088" t="s">
        <v>33</v>
      </c>
      <c r="Q20" s="1001"/>
      <c r="R20" s="1001"/>
      <c r="S20" s="1008"/>
      <c r="T20" s="1001"/>
      <c r="U20" s="1001"/>
      <c r="V20" s="642">
        <f t="shared" si="1"/>
        <v>6</v>
      </c>
    </row>
    <row r="21" spans="1:22" x14ac:dyDescent="0.25">
      <c r="A21" s="1080">
        <v>44976</v>
      </c>
      <c r="B21" s="657" t="str">
        <f t="shared" si="0"/>
        <v>Ne</v>
      </c>
      <c r="C21" s="724"/>
      <c r="D21" s="1079"/>
      <c r="E21" s="724"/>
      <c r="F21" s="724"/>
      <c r="G21" s="724"/>
      <c r="H21" s="654"/>
      <c r="I21" s="657"/>
      <c r="J21" s="654"/>
      <c r="K21" s="657"/>
      <c r="L21" s="654"/>
      <c r="M21" s="657"/>
      <c r="N21" s="714"/>
      <c r="O21" s="1083">
        <v>2740</v>
      </c>
      <c r="P21" s="1088">
        <v>0</v>
      </c>
      <c r="Q21" s="1001"/>
      <c r="R21" s="1001"/>
      <c r="S21" s="1008"/>
      <c r="T21" s="1001"/>
      <c r="U21" s="1001"/>
      <c r="V21" s="642">
        <f t="shared" si="1"/>
        <v>7</v>
      </c>
    </row>
    <row r="22" spans="1:22" x14ac:dyDescent="0.25">
      <c r="A22" s="1080">
        <v>44977</v>
      </c>
      <c r="B22" s="657" t="str">
        <f t="shared" si="0"/>
        <v>Po</v>
      </c>
      <c r="C22" s="724"/>
      <c r="D22" s="1079"/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 t="s">
        <v>34</v>
      </c>
      <c r="P22" s="1088" t="s">
        <v>34</v>
      </c>
      <c r="Q22" s="1001"/>
      <c r="R22" s="1001"/>
      <c r="S22" s="1008"/>
      <c r="T22" s="1001"/>
      <c r="U22" s="1001"/>
      <c r="V22" s="642">
        <f t="shared" si="1"/>
        <v>1</v>
      </c>
    </row>
    <row r="23" spans="1:22" x14ac:dyDescent="0.25">
      <c r="A23" s="1080">
        <v>44978</v>
      </c>
      <c r="B23" s="657" t="str">
        <f t="shared" si="0"/>
        <v>Út</v>
      </c>
      <c r="C23" s="724"/>
      <c r="D23" s="1079"/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3">
        <v>0</v>
      </c>
      <c r="P23" s="1088">
        <v>0</v>
      </c>
      <c r="Q23" s="1001"/>
      <c r="R23" s="1017"/>
      <c r="S23" s="718"/>
      <c r="T23" s="1001"/>
      <c r="U23" s="1001"/>
      <c r="V23" s="642">
        <f t="shared" si="1"/>
        <v>2</v>
      </c>
    </row>
    <row r="24" spans="1:22" x14ac:dyDescent="0.25">
      <c r="A24" s="1080">
        <v>44979</v>
      </c>
      <c r="B24" s="657" t="str">
        <f t="shared" si="0"/>
        <v>St</v>
      </c>
      <c r="C24" s="724"/>
      <c r="D24" s="1079"/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5" t="s">
        <v>364</v>
      </c>
      <c r="P24" s="1090" t="s">
        <v>363</v>
      </c>
      <c r="Q24" s="1015">
        <f>Q18-P25</f>
        <v>130995</v>
      </c>
      <c r="R24" s="1018"/>
      <c r="S24" s="1015">
        <f>U18-O27</f>
        <v>130995</v>
      </c>
      <c r="T24" s="1001"/>
      <c r="U24" s="1001"/>
      <c r="V24" s="642">
        <f t="shared" si="1"/>
        <v>3</v>
      </c>
    </row>
    <row r="25" spans="1:22" x14ac:dyDescent="0.25">
      <c r="A25" s="1080">
        <v>44980</v>
      </c>
      <c r="B25" s="657" t="str">
        <f t="shared" si="0"/>
        <v>Čt</v>
      </c>
      <c r="C25" s="724"/>
      <c r="D25" s="1079"/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1086">
        <f>P13-Q6</f>
        <v>130995</v>
      </c>
      <c r="P25" s="1088">
        <f>O27-O29</f>
        <v>-130995</v>
      </c>
      <c r="Q25" s="1020"/>
      <c r="R25" s="1019"/>
      <c r="S25" s="1006"/>
      <c r="T25" s="1006"/>
      <c r="U25" s="1006"/>
      <c r="V25" s="642">
        <f t="shared" si="1"/>
        <v>4</v>
      </c>
    </row>
    <row r="26" spans="1:22" x14ac:dyDescent="0.25">
      <c r="A26" s="1080">
        <v>44981</v>
      </c>
      <c r="B26" s="657" t="str">
        <f t="shared" si="0"/>
        <v>Pá</v>
      </c>
      <c r="C26" s="724"/>
      <c r="D26" s="1079"/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654" t="s">
        <v>372</v>
      </c>
      <c r="P26" s="1026"/>
      <c r="Q26" s="718"/>
      <c r="R26" s="718"/>
      <c r="S26" s="718"/>
      <c r="T26" s="718"/>
      <c r="U26" s="718"/>
      <c r="V26" s="642">
        <f t="shared" si="1"/>
        <v>5</v>
      </c>
    </row>
    <row r="27" spans="1:22" x14ac:dyDescent="0.25">
      <c r="A27" s="1080">
        <v>44982</v>
      </c>
      <c r="B27" s="657" t="str">
        <f t="shared" si="0"/>
        <v>So</v>
      </c>
      <c r="C27" s="724"/>
      <c r="D27" s="1079"/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1083">
        <v>0</v>
      </c>
      <c r="P27" s="1088"/>
      <c r="Q27" s="718"/>
      <c r="R27" s="718"/>
      <c r="S27" s="718"/>
      <c r="T27" s="718"/>
      <c r="U27" s="718"/>
      <c r="V27" s="642">
        <f t="shared" si="1"/>
        <v>6</v>
      </c>
    </row>
    <row r="28" spans="1:22" x14ac:dyDescent="0.25">
      <c r="A28" s="1080">
        <v>44983</v>
      </c>
      <c r="B28" s="657" t="str">
        <f t="shared" si="0"/>
        <v>Ne</v>
      </c>
      <c r="C28" s="724"/>
      <c r="D28" s="1079"/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654" t="s">
        <v>373</v>
      </c>
      <c r="P28" s="1026"/>
      <c r="Q28" s="718"/>
      <c r="R28" s="718"/>
      <c r="S28" s="718"/>
      <c r="T28" s="718"/>
      <c r="U28" s="718"/>
      <c r="V28" s="642">
        <f t="shared" si="1"/>
        <v>7</v>
      </c>
    </row>
    <row r="29" spans="1:22" x14ac:dyDescent="0.25">
      <c r="A29" s="1080">
        <v>44984</v>
      </c>
      <c r="B29" s="657" t="str">
        <f t="shared" si="0"/>
        <v>Po</v>
      </c>
      <c r="C29" s="724"/>
      <c r="D29" s="1079"/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95">
        <f>'01hod23'!Q27</f>
        <v>130995</v>
      </c>
      <c r="P29" s="1026"/>
      <c r="Q29" s="718"/>
      <c r="R29" s="718"/>
      <c r="S29" s="718"/>
      <c r="T29" s="718"/>
      <c r="U29" s="718"/>
      <c r="V29" s="642">
        <f t="shared" si="1"/>
        <v>1</v>
      </c>
    </row>
    <row r="30" spans="1:22" x14ac:dyDescent="0.25">
      <c r="A30" s="1080">
        <v>44985</v>
      </c>
      <c r="B30" s="657" t="str">
        <f t="shared" si="0"/>
        <v>Út</v>
      </c>
      <c r="C30" s="724"/>
      <c r="D30" s="1079"/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1083"/>
      <c r="P30" s="1083"/>
      <c r="Q30" s="718"/>
      <c r="R30" s="718"/>
      <c r="S30" s="718"/>
      <c r="T30" s="718"/>
      <c r="U30" s="718"/>
      <c r="V30" s="642">
        <f t="shared" si="1"/>
        <v>2</v>
      </c>
    </row>
    <row r="31" spans="1:22" x14ac:dyDescent="0.25">
      <c r="A31" s="1080">
        <v>44986</v>
      </c>
      <c r="B31" s="657" t="str">
        <f t="shared" si="0"/>
        <v>St</v>
      </c>
      <c r="C31" s="724"/>
      <c r="D31" s="1079"/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918"/>
      <c r="P31" s="1091"/>
      <c r="Q31" s="718"/>
      <c r="R31" s="718"/>
      <c r="S31" s="718"/>
      <c r="T31" s="718"/>
      <c r="U31" s="718"/>
      <c r="V31" s="642">
        <f t="shared" si="1"/>
        <v>3</v>
      </c>
    </row>
    <row r="32" spans="1:22" x14ac:dyDescent="0.25">
      <c r="A32" s="1080">
        <v>44987</v>
      </c>
      <c r="B32" s="657" t="str">
        <f t="shared" si="0"/>
        <v>Čt</v>
      </c>
      <c r="C32" s="724"/>
      <c r="D32" s="1079"/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718"/>
      <c r="R32" s="718"/>
      <c r="S32" s="718"/>
      <c r="T32" s="718"/>
      <c r="U32" s="718"/>
      <c r="V32" s="642">
        <f t="shared" si="1"/>
        <v>4</v>
      </c>
    </row>
    <row r="33" spans="1:22" x14ac:dyDescent="0.25">
      <c r="A33" s="1080">
        <v>44988</v>
      </c>
      <c r="B33" s="657" t="str">
        <f t="shared" si="0"/>
        <v>Pá</v>
      </c>
      <c r="C33" s="724"/>
      <c r="D33" s="1079"/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718"/>
      <c r="R33" s="718"/>
      <c r="S33" s="718"/>
      <c r="T33" s="718"/>
      <c r="U33" s="718"/>
      <c r="V33" s="642">
        <f t="shared" si="1"/>
        <v>5</v>
      </c>
    </row>
    <row r="34" spans="1:22" x14ac:dyDescent="0.25">
      <c r="A34" s="1080">
        <v>44989</v>
      </c>
      <c r="B34" s="657" t="str">
        <f t="shared" si="0"/>
        <v>So</v>
      </c>
      <c r="C34" s="724"/>
      <c r="D34" s="1079"/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718"/>
      <c r="R34" s="718"/>
      <c r="S34" s="718"/>
      <c r="T34" s="718"/>
      <c r="U34" s="718"/>
      <c r="V34" s="642">
        <f>WEEKDAY(A34,2)</f>
        <v>6</v>
      </c>
    </row>
    <row r="35" spans="1:22" x14ac:dyDescent="0.25">
      <c r="A35" s="1080">
        <v>44990</v>
      </c>
      <c r="B35" s="657" t="str">
        <f t="shared" si="0"/>
        <v>Ne</v>
      </c>
      <c r="C35" s="724"/>
      <c r="D35" s="1079"/>
      <c r="E35" s="724"/>
      <c r="F35" s="724"/>
      <c r="G35" s="724"/>
      <c r="H35" s="654"/>
      <c r="I35" s="657"/>
      <c r="J35" s="654"/>
      <c r="K35" s="657"/>
      <c r="L35" s="654"/>
      <c r="M35" s="657"/>
      <c r="N35" s="714"/>
      <c r="O35" s="654"/>
      <c r="P35" s="1026"/>
      <c r="Q35" s="718"/>
      <c r="R35" s="718"/>
      <c r="S35" s="718"/>
      <c r="T35" s="718"/>
      <c r="U35" s="718"/>
      <c r="V35" s="642">
        <f t="shared" ref="V35:V36" si="2">WEEKDAY(A35,2)</f>
        <v>7</v>
      </c>
    </row>
    <row r="36" spans="1:22" ht="15.75" thickBot="1" x14ac:dyDescent="0.3">
      <c r="A36" s="1199">
        <v>44991</v>
      </c>
      <c r="B36" s="658" t="str">
        <f t="shared" si="0"/>
        <v>Po</v>
      </c>
      <c r="C36" s="724"/>
      <c r="D36" s="1079"/>
      <c r="E36" s="724"/>
      <c r="F36" s="724"/>
      <c r="G36" s="724"/>
      <c r="H36" s="654"/>
      <c r="I36" s="657"/>
      <c r="J36" s="654"/>
      <c r="K36" s="658"/>
      <c r="L36" s="654"/>
      <c r="M36" s="658"/>
      <c r="N36" s="1087"/>
      <c r="O36" s="655"/>
      <c r="P36" s="1027"/>
      <c r="Q36" s="718"/>
      <c r="R36" s="718"/>
      <c r="S36" s="718"/>
      <c r="T36" s="718"/>
      <c r="U36" s="718"/>
      <c r="V36" s="642">
        <f t="shared" si="2"/>
        <v>1</v>
      </c>
    </row>
    <row r="37" spans="1:22" x14ac:dyDescent="0.25">
      <c r="B37" s="610"/>
      <c r="C37" s="610"/>
      <c r="D37" s="610"/>
      <c r="E37" s="610"/>
      <c r="F37" s="610"/>
      <c r="G37" s="610"/>
      <c r="H37" s="610"/>
      <c r="I37" s="610"/>
      <c r="J37" s="610"/>
      <c r="K37" s="610"/>
      <c r="L37" s="610"/>
      <c r="M37" s="610"/>
      <c r="N37" s="610"/>
      <c r="O37" s="610"/>
      <c r="P37" s="610"/>
      <c r="Q37" s="610"/>
      <c r="R37" s="610"/>
      <c r="S37" s="610"/>
      <c r="T37" s="610"/>
      <c r="U37" s="610"/>
    </row>
    <row r="39" spans="1:22" x14ac:dyDescent="0.25">
      <c r="E39" s="731"/>
      <c r="F39" s="731"/>
      <c r="O39" s="731"/>
    </row>
    <row r="40" spans="1:22" x14ac:dyDescent="0.25">
      <c r="C40" s="733"/>
      <c r="E40" s="732"/>
      <c r="F40" s="732"/>
    </row>
    <row r="41" spans="1:22" x14ac:dyDescent="0.25">
      <c r="O41" s="732">
        <f>SUM(C3:C33)</f>
        <v>0</v>
      </c>
      <c r="P41" t="s">
        <v>315</v>
      </c>
    </row>
    <row r="42" spans="1:22" x14ac:dyDescent="0.25">
      <c r="O42" s="732">
        <v>0</v>
      </c>
      <c r="P42" t="s">
        <v>316</v>
      </c>
    </row>
    <row r="43" spans="1:22" x14ac:dyDescent="0.25">
      <c r="O43" s="731">
        <f>TIME(0,30,0)</f>
        <v>2.0833333333333332E-2</v>
      </c>
    </row>
    <row r="44" spans="1:22" x14ac:dyDescent="0.25">
      <c r="O44" s="737"/>
    </row>
    <row r="46" spans="1:22" x14ac:dyDescent="0.25">
      <c r="C46" s="731"/>
    </row>
  </sheetData>
  <pageMargins left="0.7" right="0.7" top="0.75" bottom="0.75" header="0.3" footer="0.3"/>
  <tableParts count="1">
    <tablePart r:id="rId1"/>
  </tableParts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FF8E7A-4067-5242-9ED7-095E79A1D70E}">
  <dimension ref="A2:V46"/>
  <sheetViews>
    <sheetView topLeftCell="A15" zoomScaleNormal="60" zoomScaleSheetLayoutView="100" workbookViewId="0">
      <selection activeCell="O5" sqref="O5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6.42578125" customWidth="1"/>
    <col min="16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2" spans="1:22" ht="15.75" thickBot="1" x14ac:dyDescent="0.3">
      <c r="A2" s="650" t="s">
        <v>0</v>
      </c>
      <c r="B2" s="650" t="s">
        <v>1</v>
      </c>
      <c r="C2" s="650" t="s">
        <v>127</v>
      </c>
      <c r="D2" s="650" t="s">
        <v>128</v>
      </c>
      <c r="E2" s="650" t="s">
        <v>286</v>
      </c>
      <c r="F2" s="650" t="s">
        <v>317</v>
      </c>
      <c r="G2" s="650" t="s">
        <v>285</v>
      </c>
      <c r="H2" s="650" t="s">
        <v>4</v>
      </c>
      <c r="I2" s="650" t="s">
        <v>5</v>
      </c>
      <c r="J2" s="650" t="s">
        <v>6</v>
      </c>
      <c r="K2" s="650" t="s">
        <v>7</v>
      </c>
      <c r="L2" s="650" t="s">
        <v>265</v>
      </c>
      <c r="M2" s="650" t="s">
        <v>8</v>
      </c>
      <c r="N2" s="650" t="s">
        <v>129</v>
      </c>
      <c r="O2" s="650" t="s">
        <v>9</v>
      </c>
      <c r="P2" s="650" t="s">
        <v>155</v>
      </c>
      <c r="Q2" s="650" t="s">
        <v>10</v>
      </c>
      <c r="R2" s="650" t="s">
        <v>11</v>
      </c>
      <c r="S2" s="650" t="s">
        <v>12</v>
      </c>
      <c r="T2" s="650" t="s">
        <v>13</v>
      </c>
      <c r="U2" s="650" t="s">
        <v>14</v>
      </c>
      <c r="V2" s="642"/>
    </row>
    <row r="3" spans="1:22" ht="15.75" thickBot="1" x14ac:dyDescent="0.3">
      <c r="A3" s="1080">
        <v>44713</v>
      </c>
      <c r="B3" s="656" t="str">
        <f t="shared" ref="B3:B36" si="0">CHOOSE(WEEKDAY(V3),"Po","Út","St","Čt","Pá","So","Ne")</f>
        <v>St</v>
      </c>
      <c r="C3" s="724">
        <f t="shared" ref="C3:C36" si="1">G3-E3-F3</f>
        <v>0</v>
      </c>
      <c r="D3" s="1079">
        <f t="shared" ref="D3:D36" si="2">(N3*C3)*24</f>
        <v>0</v>
      </c>
      <c r="E3" s="724"/>
      <c r="F3" s="724"/>
      <c r="G3" s="724"/>
      <c r="H3" s="654"/>
      <c r="I3" s="657"/>
      <c r="J3" s="654"/>
      <c r="K3" s="656"/>
      <c r="L3" s="654"/>
      <c r="M3" s="657"/>
      <c r="N3" s="713"/>
      <c r="O3" s="1081">
        <f>(O5+O7)</f>
        <v>110</v>
      </c>
      <c r="P3" s="656">
        <f t="shared" ref="P3" si="3">P5+P7</f>
        <v>110</v>
      </c>
      <c r="Q3" s="1094">
        <f>'02hod23'!Q6</f>
        <v>0</v>
      </c>
      <c r="R3" s="644" t="s">
        <v>17</v>
      </c>
      <c r="S3" s="1092" t="str">
        <f>'02hod23'!S6</f>
        <v>Výplata za Únor</v>
      </c>
      <c r="T3" s="1093" t="str">
        <f>'02hod23'!T6</f>
        <v>xx.03.2023</v>
      </c>
      <c r="U3" s="722">
        <f>T8*20</f>
        <v>0</v>
      </c>
      <c r="V3" s="642">
        <f t="shared" ref="V3:V33" si="4">WEEKDAY(A3,2)</f>
        <v>3</v>
      </c>
    </row>
    <row r="4" spans="1:22" x14ac:dyDescent="0.25">
      <c r="A4" s="1080">
        <v>44714</v>
      </c>
      <c r="B4" s="657" t="str">
        <f t="shared" si="0"/>
        <v>Čt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654" t="s">
        <v>19</v>
      </c>
      <c r="P4" s="657" t="s">
        <v>19</v>
      </c>
      <c r="Q4" s="738">
        <v>0</v>
      </c>
      <c r="R4" s="611" t="s">
        <v>48</v>
      </c>
      <c r="S4" s="611" t="s">
        <v>48</v>
      </c>
      <c r="T4" s="874">
        <v>1</v>
      </c>
      <c r="U4" s="718"/>
      <c r="V4" s="642">
        <f t="shared" si="4"/>
        <v>4</v>
      </c>
    </row>
    <row r="5" spans="1:22" x14ac:dyDescent="0.25">
      <c r="A5" s="1080">
        <v>44715</v>
      </c>
      <c r="B5" s="657" t="str">
        <f t="shared" si="0"/>
        <v>Pá</v>
      </c>
      <c r="C5" s="724">
        <f t="shared" si="1"/>
        <v>0</v>
      </c>
      <c r="D5" s="1079">
        <f t="shared" si="2"/>
        <v>0</v>
      </c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1082">
        <v>110</v>
      </c>
      <c r="P5" s="657">
        <v>110</v>
      </c>
      <c r="Q5" s="738">
        <v>0</v>
      </c>
      <c r="R5" s="611" t="s">
        <v>17</v>
      </c>
      <c r="S5" s="611" t="s">
        <v>158</v>
      </c>
      <c r="T5" s="646"/>
      <c r="U5" s="718"/>
      <c r="V5" s="642">
        <f t="shared" si="4"/>
        <v>5</v>
      </c>
    </row>
    <row r="6" spans="1:22" x14ac:dyDescent="0.25">
      <c r="A6" s="1080">
        <v>44716</v>
      </c>
      <c r="B6" s="657" t="str">
        <f t="shared" si="0"/>
        <v>So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654" t="s">
        <v>14</v>
      </c>
      <c r="P6" s="657" t="s">
        <v>14</v>
      </c>
      <c r="Q6" s="738">
        <v>0</v>
      </c>
      <c r="R6" s="611" t="s">
        <v>17</v>
      </c>
      <c r="S6" s="611" t="s">
        <v>594</v>
      </c>
      <c r="T6" s="646" t="s">
        <v>598</v>
      </c>
      <c r="U6" s="718"/>
      <c r="V6" s="642">
        <f t="shared" si="4"/>
        <v>6</v>
      </c>
    </row>
    <row r="7" spans="1:22" ht="15.75" thickBot="1" x14ac:dyDescent="0.3">
      <c r="A7" s="1080">
        <v>44717</v>
      </c>
      <c r="B7" s="657" t="str">
        <f t="shared" si="0"/>
        <v>Ne</v>
      </c>
      <c r="C7" s="724">
        <f t="shared" si="1"/>
        <v>0</v>
      </c>
      <c r="D7" s="1079">
        <f t="shared" si="2"/>
        <v>0</v>
      </c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1082">
        <f>O42*24</f>
        <v>0</v>
      </c>
      <c r="P7" s="657">
        <v>0</v>
      </c>
      <c r="Q7" s="712" t="s">
        <v>134</v>
      </c>
      <c r="R7" s="647"/>
      <c r="S7" s="647" t="s">
        <v>48</v>
      </c>
      <c r="T7" s="648"/>
      <c r="U7" s="718"/>
      <c r="V7" s="642">
        <f t="shared" si="4"/>
        <v>7</v>
      </c>
    </row>
    <row r="8" spans="1:22" x14ac:dyDescent="0.25">
      <c r="A8" s="1080">
        <v>44718</v>
      </c>
      <c r="B8" s="657" t="str">
        <f t="shared" si="0"/>
        <v>Po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20</v>
      </c>
      <c r="P8" s="1026" t="s">
        <v>20</v>
      </c>
      <c r="Q8" s="721">
        <f>Q4+Q5</f>
        <v>0</v>
      </c>
      <c r="R8" s="718"/>
      <c r="S8" s="718"/>
      <c r="T8" s="718"/>
      <c r="U8" s="718"/>
      <c r="V8" s="642">
        <f t="shared" si="4"/>
        <v>1</v>
      </c>
    </row>
    <row r="9" spans="1:22" x14ac:dyDescent="0.25">
      <c r="A9" s="1080">
        <v>44719</v>
      </c>
      <c r="B9" s="657" t="str">
        <f t="shared" si="0"/>
        <v>Út</v>
      </c>
      <c r="C9" s="724">
        <f t="shared" si="1"/>
        <v>0</v>
      </c>
      <c r="D9" s="1079">
        <f t="shared" si="2"/>
        <v>0</v>
      </c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509</v>
      </c>
      <c r="P9" s="1026" t="s">
        <v>509</v>
      </c>
      <c r="Q9" s="657" t="s">
        <v>229</v>
      </c>
      <c r="R9" s="718"/>
      <c r="S9" s="718"/>
      <c r="T9" s="718"/>
      <c r="U9" s="718"/>
      <c r="V9" s="642">
        <f t="shared" si="4"/>
        <v>2</v>
      </c>
    </row>
    <row r="10" spans="1:22" x14ac:dyDescent="0.25">
      <c r="A10" s="1080">
        <v>44720</v>
      </c>
      <c r="B10" s="657" t="str">
        <f t="shared" si="0"/>
        <v>St</v>
      </c>
      <c r="C10" s="724">
        <f t="shared" si="1"/>
        <v>0</v>
      </c>
      <c r="D10" s="1079">
        <f t="shared" si="2"/>
        <v>0</v>
      </c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654" t="s">
        <v>23</v>
      </c>
      <c r="P10" s="1026" t="s">
        <v>23</v>
      </c>
      <c r="Q10" s="657">
        <f>SUM(Q3:Q5)</f>
        <v>0</v>
      </c>
      <c r="R10" s="718"/>
      <c r="S10" s="718"/>
      <c r="T10" s="718"/>
      <c r="U10" s="718"/>
      <c r="V10" s="642">
        <f t="shared" si="4"/>
        <v>3</v>
      </c>
    </row>
    <row r="11" spans="1:22" x14ac:dyDescent="0.25">
      <c r="A11" s="1080">
        <v>44721</v>
      </c>
      <c r="B11" s="657" t="str">
        <f t="shared" si="0"/>
        <v>Čt</v>
      </c>
      <c r="C11" s="724">
        <f t="shared" si="1"/>
        <v>0</v>
      </c>
      <c r="D11" s="1079">
        <f t="shared" si="2"/>
        <v>0</v>
      </c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1083">
        <f>(O3*400)+U3</f>
        <v>44000</v>
      </c>
      <c r="P11" s="1088">
        <f>SUM(P3*400)</f>
        <v>44000</v>
      </c>
      <c r="Q11" s="719"/>
      <c r="R11" s="718"/>
      <c r="S11" s="718"/>
      <c r="T11" s="718"/>
      <c r="U11" s="718"/>
      <c r="V11" s="642">
        <f t="shared" si="4"/>
        <v>4</v>
      </c>
    </row>
    <row r="12" spans="1:22" x14ac:dyDescent="0.25">
      <c r="A12" s="1080">
        <v>44722</v>
      </c>
      <c r="B12" s="657" t="str">
        <f t="shared" si="0"/>
        <v>Pá</v>
      </c>
      <c r="C12" s="724">
        <f t="shared" si="1"/>
        <v>0</v>
      </c>
      <c r="D12" s="1079">
        <f t="shared" si="2"/>
        <v>0</v>
      </c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654" t="s">
        <v>361</v>
      </c>
      <c r="P12" s="1026" t="s">
        <v>361</v>
      </c>
      <c r="Q12" s="718"/>
      <c r="R12" s="718"/>
      <c r="S12" s="718"/>
      <c r="T12" s="718"/>
      <c r="U12" s="718"/>
      <c r="V12" s="642">
        <f t="shared" si="4"/>
        <v>5</v>
      </c>
    </row>
    <row r="13" spans="1:22" x14ac:dyDescent="0.25">
      <c r="A13" s="1080">
        <v>44723</v>
      </c>
      <c r="B13" s="657" t="str">
        <f t="shared" si="0"/>
        <v>So</v>
      </c>
      <c r="C13" s="724">
        <f>G13-E13-F13</f>
        <v>0</v>
      </c>
      <c r="D13" s="1079">
        <f t="shared" si="2"/>
        <v>0</v>
      </c>
      <c r="E13" s="724"/>
      <c r="F13" s="724"/>
      <c r="G13" s="724"/>
      <c r="H13" s="654"/>
      <c r="I13" s="657"/>
      <c r="J13" s="654"/>
      <c r="K13" s="657"/>
      <c r="L13" s="654"/>
      <c r="M13" s="657"/>
      <c r="N13" s="714"/>
      <c r="O13" s="1083">
        <f>(O11+O21+O19-O23)-O15-P25</f>
        <v>44000</v>
      </c>
      <c r="P13" s="1088">
        <f>(P11+P19+P21-P23)-P15-P25</f>
        <v>44000</v>
      </c>
      <c r="Q13" s="718"/>
      <c r="R13" s="718"/>
      <c r="S13" s="718"/>
      <c r="T13" s="718"/>
      <c r="U13" s="718"/>
      <c r="V13" s="642">
        <f t="shared" si="4"/>
        <v>6</v>
      </c>
    </row>
    <row r="14" spans="1:22" x14ac:dyDescent="0.25">
      <c r="A14" s="1080">
        <v>44724</v>
      </c>
      <c r="B14" s="657" t="str">
        <f t="shared" si="0"/>
        <v>Ne</v>
      </c>
      <c r="C14" s="724">
        <f t="shared" si="1"/>
        <v>0</v>
      </c>
      <c r="D14" s="1079">
        <f t="shared" si="2"/>
        <v>0</v>
      </c>
      <c r="E14" s="724"/>
      <c r="F14" s="724"/>
      <c r="G14" s="724"/>
      <c r="H14" s="654"/>
      <c r="I14" s="657"/>
      <c r="J14" s="654"/>
      <c r="K14" s="657"/>
      <c r="L14" s="654"/>
      <c r="M14" s="657"/>
      <c r="N14" s="714"/>
      <c r="O14" s="654" t="s">
        <v>26</v>
      </c>
      <c r="P14" s="1088" t="s">
        <v>26</v>
      </c>
      <c r="Q14" s="718"/>
      <c r="R14" s="718"/>
      <c r="S14" s="718"/>
      <c r="T14" s="718"/>
      <c r="U14" s="718"/>
      <c r="V14" s="642">
        <f t="shared" si="4"/>
        <v>7</v>
      </c>
    </row>
    <row r="15" spans="1:22" x14ac:dyDescent="0.25">
      <c r="A15" s="1080">
        <v>44725</v>
      </c>
      <c r="B15" s="657" t="str">
        <f t="shared" si="0"/>
        <v>Po</v>
      </c>
      <c r="C15" s="724">
        <f t="shared" si="1"/>
        <v>0</v>
      </c>
      <c r="D15" s="1079">
        <f t="shared" si="2"/>
        <v>0</v>
      </c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1083">
        <f>(O17*25.53)</f>
        <v>0</v>
      </c>
      <c r="P15" s="1088">
        <f>(P17*25.53)</f>
        <v>0</v>
      </c>
      <c r="Q15" s="923" t="s">
        <v>458</v>
      </c>
      <c r="R15" s="1004">
        <f>P15+P23-P19</f>
        <v>0</v>
      </c>
      <c r="S15" s="1007"/>
      <c r="T15" s="923" t="s">
        <v>462</v>
      </c>
      <c r="U15" s="1004">
        <f>P15+P23</f>
        <v>0</v>
      </c>
      <c r="V15" s="642">
        <f t="shared" si="4"/>
        <v>1</v>
      </c>
    </row>
    <row r="16" spans="1:22" x14ac:dyDescent="0.25">
      <c r="A16" s="1080">
        <v>44726</v>
      </c>
      <c r="B16" s="657" t="str">
        <f t="shared" si="0"/>
        <v>Út</v>
      </c>
      <c r="C16" s="724">
        <f t="shared" si="1"/>
        <v>0</v>
      </c>
      <c r="D16" s="1079">
        <f t="shared" si="2"/>
        <v>0</v>
      </c>
      <c r="E16" s="724"/>
      <c r="F16" s="724"/>
      <c r="G16" s="724"/>
      <c r="H16" s="654"/>
      <c r="I16" s="657"/>
      <c r="J16" s="654"/>
      <c r="K16" s="657"/>
      <c r="L16" s="654"/>
      <c r="M16" s="657"/>
      <c r="N16" s="714"/>
      <c r="O16" s="654" t="s">
        <v>29</v>
      </c>
      <c r="P16" s="1026" t="s">
        <v>29</v>
      </c>
      <c r="Q16" s="1001" t="s">
        <v>459</v>
      </c>
      <c r="R16" s="1002">
        <f>P11</f>
        <v>44000</v>
      </c>
      <c r="S16" s="1008"/>
      <c r="T16" s="1001" t="s">
        <v>463</v>
      </c>
      <c r="U16" s="1002">
        <f>P11+P19+P21+O29</f>
        <v>44000</v>
      </c>
      <c r="V16" s="642">
        <f t="shared" si="4"/>
        <v>2</v>
      </c>
    </row>
    <row r="17" spans="1:22" x14ac:dyDescent="0.25">
      <c r="A17" s="1080">
        <v>44727</v>
      </c>
      <c r="B17" s="657" t="str">
        <f t="shared" si="0"/>
        <v>St</v>
      </c>
      <c r="C17" s="724">
        <f t="shared" si="1"/>
        <v>0</v>
      </c>
      <c r="D17" s="1079">
        <f t="shared" si="2"/>
        <v>0</v>
      </c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1084">
        <v>0</v>
      </c>
      <c r="P17" s="1089">
        <v>0</v>
      </c>
      <c r="Q17" s="1001"/>
      <c r="R17" s="1003">
        <f>R16-R15</f>
        <v>44000</v>
      </c>
      <c r="S17" s="1008"/>
      <c r="T17" s="1001" t="s">
        <v>513</v>
      </c>
      <c r="U17" s="1002">
        <f>U16-U15</f>
        <v>44000</v>
      </c>
      <c r="V17" s="642">
        <f t="shared" si="4"/>
        <v>3</v>
      </c>
    </row>
    <row r="18" spans="1:22" x14ac:dyDescent="0.25">
      <c r="A18" s="1080">
        <v>44728</v>
      </c>
      <c r="B18" s="657" t="str">
        <f t="shared" si="0"/>
        <v>Čt</v>
      </c>
      <c r="C18" s="724">
        <f t="shared" si="1"/>
        <v>0</v>
      </c>
      <c r="D18" s="1079">
        <f t="shared" si="2"/>
        <v>0</v>
      </c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654" t="s">
        <v>31</v>
      </c>
      <c r="P18" s="1026" t="s">
        <v>31</v>
      </c>
      <c r="Q18" s="1002">
        <f>R17-Q6-Q8</f>
        <v>44000</v>
      </c>
      <c r="R18" s="1001"/>
      <c r="S18" s="1009"/>
      <c r="T18" s="1001" t="s">
        <v>514</v>
      </c>
      <c r="U18" s="1002">
        <f>U17-Q6-Q8</f>
        <v>44000</v>
      </c>
      <c r="V18" s="642">
        <f t="shared" si="4"/>
        <v>4</v>
      </c>
    </row>
    <row r="19" spans="1:22" x14ac:dyDescent="0.25">
      <c r="A19" s="1080">
        <v>44729</v>
      </c>
      <c r="B19" s="657" t="str">
        <f t="shared" si="0"/>
        <v>Pá</v>
      </c>
      <c r="C19" s="724">
        <f t="shared" si="1"/>
        <v>0</v>
      </c>
      <c r="D19" s="1079">
        <f t="shared" si="2"/>
        <v>0</v>
      </c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/>
      <c r="P19" s="1088"/>
      <c r="Q19" s="1001"/>
      <c r="R19" s="1001"/>
      <c r="S19" s="1008"/>
      <c r="T19" s="1001"/>
      <c r="U19" s="1001"/>
      <c r="V19" s="642">
        <f t="shared" si="4"/>
        <v>5</v>
      </c>
    </row>
    <row r="20" spans="1:22" x14ac:dyDescent="0.25">
      <c r="A20" s="1080">
        <v>44730</v>
      </c>
      <c r="B20" s="657" t="str">
        <f t="shared" si="0"/>
        <v>So</v>
      </c>
      <c r="C20" s="724">
        <f t="shared" si="1"/>
        <v>0</v>
      </c>
      <c r="D20" s="1079">
        <f t="shared" si="2"/>
        <v>0</v>
      </c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 t="s">
        <v>33</v>
      </c>
      <c r="P20" s="1088" t="s">
        <v>33</v>
      </c>
      <c r="Q20" s="1001"/>
      <c r="R20" s="1001"/>
      <c r="S20" s="1008"/>
      <c r="T20" s="1001"/>
      <c r="U20" s="1001"/>
      <c r="V20" s="642">
        <f t="shared" si="4"/>
        <v>6</v>
      </c>
    </row>
    <row r="21" spans="1:22" x14ac:dyDescent="0.25">
      <c r="A21" s="1080">
        <v>44731</v>
      </c>
      <c r="B21" s="657" t="str">
        <f t="shared" si="0"/>
        <v>Ne</v>
      </c>
      <c r="C21" s="724">
        <f t="shared" si="1"/>
        <v>0</v>
      </c>
      <c r="D21" s="1079">
        <f t="shared" si="2"/>
        <v>0</v>
      </c>
      <c r="E21" s="724"/>
      <c r="F21" s="724"/>
      <c r="G21" s="724"/>
      <c r="H21" s="654"/>
      <c r="I21" s="657"/>
      <c r="J21" s="654"/>
      <c r="K21" s="657"/>
      <c r="L21" s="654"/>
      <c r="M21" s="657"/>
      <c r="N21" s="714"/>
      <c r="O21" s="1083">
        <v>0</v>
      </c>
      <c r="P21" s="1088">
        <v>0</v>
      </c>
      <c r="Q21" s="1001"/>
      <c r="R21" s="1001"/>
      <c r="S21" s="1008"/>
      <c r="T21" s="1001"/>
      <c r="U21" s="1001"/>
      <c r="V21" s="642">
        <f t="shared" si="4"/>
        <v>7</v>
      </c>
    </row>
    <row r="22" spans="1:22" x14ac:dyDescent="0.25">
      <c r="A22" s="1080">
        <v>44732</v>
      </c>
      <c r="B22" s="657" t="str">
        <f t="shared" si="0"/>
        <v>Po</v>
      </c>
      <c r="C22" s="724">
        <f t="shared" si="1"/>
        <v>0</v>
      </c>
      <c r="D22" s="1079">
        <f t="shared" si="2"/>
        <v>0</v>
      </c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 t="s">
        <v>34</v>
      </c>
      <c r="P22" s="1088" t="s">
        <v>34</v>
      </c>
      <c r="Q22" s="1001"/>
      <c r="R22" s="1001"/>
      <c r="S22" s="1008"/>
      <c r="T22" s="1001"/>
      <c r="U22" s="1001"/>
      <c r="V22" s="642">
        <f t="shared" si="4"/>
        <v>1</v>
      </c>
    </row>
    <row r="23" spans="1:22" x14ac:dyDescent="0.25">
      <c r="A23" s="1080">
        <v>44733</v>
      </c>
      <c r="B23" s="657" t="str">
        <f t="shared" si="0"/>
        <v>Út</v>
      </c>
      <c r="C23" s="724">
        <f t="shared" si="1"/>
        <v>0</v>
      </c>
      <c r="D23" s="1079">
        <f t="shared" si="2"/>
        <v>0</v>
      </c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3">
        <v>0</v>
      </c>
      <c r="P23" s="1088">
        <v>0</v>
      </c>
      <c r="Q23" s="1001"/>
      <c r="R23" s="1017"/>
      <c r="S23" s="718"/>
      <c r="T23" s="1001"/>
      <c r="U23" s="1001"/>
      <c r="V23" s="642">
        <f t="shared" si="4"/>
        <v>2</v>
      </c>
    </row>
    <row r="24" spans="1:22" x14ac:dyDescent="0.25">
      <c r="A24" s="1080">
        <v>44734</v>
      </c>
      <c r="B24" s="657" t="str">
        <f t="shared" si="0"/>
        <v>St</v>
      </c>
      <c r="C24" s="724">
        <f t="shared" si="1"/>
        <v>0</v>
      </c>
      <c r="D24" s="1079">
        <f t="shared" si="2"/>
        <v>0</v>
      </c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5" t="s">
        <v>364</v>
      </c>
      <c r="P24" s="1090" t="s">
        <v>363</v>
      </c>
      <c r="Q24" s="1015">
        <f>Q18-P25</f>
        <v>44000</v>
      </c>
      <c r="R24" s="1018"/>
      <c r="S24" s="1015">
        <f>U18-O27</f>
        <v>44000</v>
      </c>
      <c r="T24" s="1001"/>
      <c r="U24" s="1001"/>
      <c r="V24" s="642">
        <f t="shared" si="4"/>
        <v>3</v>
      </c>
    </row>
    <row r="25" spans="1:22" x14ac:dyDescent="0.25">
      <c r="A25" s="1080">
        <v>44735</v>
      </c>
      <c r="B25" s="657" t="str">
        <f t="shared" si="0"/>
        <v>Čt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1086">
        <f>P13-Q6</f>
        <v>44000</v>
      </c>
      <c r="P25" s="1088">
        <f>O27-O29</f>
        <v>0</v>
      </c>
      <c r="Q25" s="1020"/>
      <c r="R25" s="1019"/>
      <c r="S25" s="1006"/>
      <c r="T25" s="1006"/>
      <c r="U25" s="1006"/>
      <c r="V25" s="642">
        <f t="shared" si="4"/>
        <v>4</v>
      </c>
    </row>
    <row r="26" spans="1:22" x14ac:dyDescent="0.25">
      <c r="A26" s="1080">
        <v>44736</v>
      </c>
      <c r="B26" s="657" t="str">
        <f t="shared" si="0"/>
        <v>Pá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654" t="s">
        <v>372</v>
      </c>
      <c r="P26" s="1026"/>
      <c r="Q26" s="718"/>
      <c r="R26" s="718"/>
      <c r="S26" s="718"/>
      <c r="T26" s="718"/>
      <c r="U26" s="718"/>
      <c r="V26" s="642">
        <f t="shared" si="4"/>
        <v>5</v>
      </c>
    </row>
    <row r="27" spans="1:22" x14ac:dyDescent="0.25">
      <c r="A27" s="1080">
        <v>44737</v>
      </c>
      <c r="B27" s="657" t="str">
        <f t="shared" si="0"/>
        <v>So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1083">
        <v>0</v>
      </c>
      <c r="P27" s="1088"/>
      <c r="Q27" s="718"/>
      <c r="R27" s="718"/>
      <c r="S27" s="718"/>
      <c r="T27" s="718"/>
      <c r="U27" s="718"/>
      <c r="V27" s="642">
        <f t="shared" si="4"/>
        <v>6</v>
      </c>
    </row>
    <row r="28" spans="1:22" x14ac:dyDescent="0.25">
      <c r="A28" s="1080">
        <v>44738</v>
      </c>
      <c r="B28" s="657" t="str">
        <f t="shared" si="0"/>
        <v>Ne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654" t="s">
        <v>373</v>
      </c>
      <c r="P28" s="1026"/>
      <c r="Q28" s="718"/>
      <c r="R28" s="718"/>
      <c r="S28" s="718"/>
      <c r="T28" s="718"/>
      <c r="U28" s="718"/>
      <c r="V28" s="642">
        <f t="shared" si="4"/>
        <v>7</v>
      </c>
    </row>
    <row r="29" spans="1:22" x14ac:dyDescent="0.25">
      <c r="A29" s="1080">
        <v>44739</v>
      </c>
      <c r="B29" s="657" t="str">
        <f t="shared" si="0"/>
        <v>Po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95">
        <f>'02hod23'!O27</f>
        <v>0</v>
      </c>
      <c r="P29" s="1026"/>
      <c r="Q29" s="718"/>
      <c r="R29" s="718"/>
      <c r="S29" s="718"/>
      <c r="T29" s="718"/>
      <c r="U29" s="718"/>
      <c r="V29" s="642">
        <f t="shared" si="4"/>
        <v>1</v>
      </c>
    </row>
    <row r="30" spans="1:22" x14ac:dyDescent="0.25">
      <c r="A30" s="1080">
        <v>44740</v>
      </c>
      <c r="B30" s="657" t="str">
        <f t="shared" si="0"/>
        <v>Út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1083"/>
      <c r="P30" s="1083"/>
      <c r="Q30" s="718"/>
      <c r="R30" s="718"/>
      <c r="S30" s="718"/>
      <c r="T30" s="718"/>
      <c r="U30" s="718"/>
      <c r="V30" s="642">
        <f t="shared" si="4"/>
        <v>2</v>
      </c>
    </row>
    <row r="31" spans="1:22" x14ac:dyDescent="0.25">
      <c r="A31" s="1080">
        <v>44741</v>
      </c>
      <c r="B31" s="657" t="str">
        <f t="shared" si="0"/>
        <v>St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918"/>
      <c r="P31" s="1091"/>
      <c r="Q31" s="718"/>
      <c r="R31" s="718"/>
      <c r="S31" s="718"/>
      <c r="T31" s="718"/>
      <c r="U31" s="718"/>
      <c r="V31" s="642">
        <f t="shared" si="4"/>
        <v>3</v>
      </c>
    </row>
    <row r="32" spans="1:22" x14ac:dyDescent="0.25">
      <c r="A32" s="1080">
        <v>44742</v>
      </c>
      <c r="B32" s="657" t="str">
        <f t="shared" si="0"/>
        <v>Čt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718"/>
      <c r="R32" s="718"/>
      <c r="S32" s="718"/>
      <c r="T32" s="718"/>
      <c r="U32" s="718"/>
      <c r="V32" s="642">
        <f t="shared" si="4"/>
        <v>4</v>
      </c>
    </row>
    <row r="33" spans="1:22" x14ac:dyDescent="0.25">
      <c r="A33" s="1080">
        <v>44743</v>
      </c>
      <c r="B33" s="657" t="str">
        <f t="shared" si="0"/>
        <v>Pá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718"/>
      <c r="R33" s="718"/>
      <c r="S33" s="718"/>
      <c r="T33" s="718"/>
      <c r="U33" s="718"/>
      <c r="V33" s="642">
        <f t="shared" si="4"/>
        <v>5</v>
      </c>
    </row>
    <row r="34" spans="1:22" x14ac:dyDescent="0.25">
      <c r="A34" s="1080">
        <v>44744</v>
      </c>
      <c r="B34" s="657" t="str">
        <f t="shared" si="0"/>
        <v>So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718"/>
      <c r="R34" s="718"/>
      <c r="S34" s="718"/>
      <c r="T34" s="718"/>
      <c r="U34" s="718"/>
      <c r="V34" s="642">
        <f>WEEKDAY(A34,2)</f>
        <v>6</v>
      </c>
    </row>
    <row r="35" spans="1:22" x14ac:dyDescent="0.25">
      <c r="A35" s="1080">
        <v>44745</v>
      </c>
      <c r="B35" s="657" t="str">
        <f t="shared" si="0"/>
        <v>Ne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7"/>
      <c r="L35" s="654"/>
      <c r="M35" s="657"/>
      <c r="N35" s="714"/>
      <c r="O35" s="654"/>
      <c r="P35" s="1026"/>
      <c r="Q35" s="718"/>
      <c r="R35" s="718"/>
      <c r="S35" s="718"/>
      <c r="T35" s="718"/>
      <c r="U35" s="718"/>
      <c r="V35" s="642">
        <f t="shared" ref="V35:V36" si="5">WEEKDAY(A35,2)</f>
        <v>7</v>
      </c>
    </row>
    <row r="36" spans="1:22" ht="15.75" thickBot="1" x14ac:dyDescent="0.3">
      <c r="A36" s="1080">
        <v>44746</v>
      </c>
      <c r="B36" s="658" t="str">
        <f t="shared" si="0"/>
        <v>Po</v>
      </c>
      <c r="C36" s="724">
        <f t="shared" si="1"/>
        <v>0</v>
      </c>
      <c r="D36" s="1079">
        <f t="shared" si="2"/>
        <v>0</v>
      </c>
      <c r="E36" s="724"/>
      <c r="F36" s="724"/>
      <c r="G36" s="724"/>
      <c r="H36" s="654"/>
      <c r="I36" s="657"/>
      <c r="J36" s="654"/>
      <c r="K36" s="658"/>
      <c r="L36" s="654"/>
      <c r="M36" s="658"/>
      <c r="N36" s="1087"/>
      <c r="O36" s="655"/>
      <c r="P36" s="1027"/>
      <c r="Q36" s="718"/>
      <c r="R36" s="718"/>
      <c r="S36" s="718"/>
      <c r="T36" s="718"/>
      <c r="U36" s="718"/>
      <c r="V36" s="642">
        <f t="shared" si="5"/>
        <v>1</v>
      </c>
    </row>
    <row r="37" spans="1:22" x14ac:dyDescent="0.25">
      <c r="A37" s="610"/>
      <c r="B37" s="610"/>
      <c r="C37" s="610"/>
      <c r="D37" s="610"/>
      <c r="E37" s="610"/>
      <c r="F37" s="610"/>
      <c r="G37" s="610"/>
      <c r="H37" s="610"/>
      <c r="I37" s="610"/>
      <c r="J37" s="610"/>
      <c r="K37" s="610"/>
      <c r="L37" s="610"/>
      <c r="M37" s="610"/>
      <c r="N37" s="610"/>
      <c r="O37" s="610"/>
      <c r="P37" s="610"/>
      <c r="Q37" s="610"/>
      <c r="R37" s="610"/>
      <c r="S37" s="610"/>
      <c r="T37" s="610"/>
      <c r="U37" s="610"/>
    </row>
    <row r="39" spans="1:22" x14ac:dyDescent="0.25">
      <c r="E39" s="731"/>
      <c r="F39" s="731"/>
      <c r="O39" s="731"/>
    </row>
    <row r="40" spans="1:22" x14ac:dyDescent="0.25">
      <c r="C40" s="733"/>
      <c r="E40" s="732"/>
      <c r="F40" s="732"/>
    </row>
    <row r="41" spans="1:22" x14ac:dyDescent="0.25">
      <c r="O41" s="732">
        <f>SUM(C3:C32)</f>
        <v>0</v>
      </c>
      <c r="P41" t="s">
        <v>315</v>
      </c>
    </row>
    <row r="42" spans="1:22" x14ac:dyDescent="0.25">
      <c r="O42" s="732">
        <v>0</v>
      </c>
      <c r="P42" t="s">
        <v>316</v>
      </c>
    </row>
    <row r="43" spans="1:22" x14ac:dyDescent="0.25">
      <c r="O43" s="731">
        <f>TIME(0,30,0)</f>
        <v>2.0833333333333332E-2</v>
      </c>
    </row>
    <row r="44" spans="1:22" x14ac:dyDescent="0.25">
      <c r="O44" s="737"/>
    </row>
    <row r="46" spans="1:22" x14ac:dyDescent="0.25">
      <c r="C46" s="731"/>
    </row>
  </sheetData>
  <pageMargins left="0.7" right="0.7" top="0.75" bottom="0.75" header="0.3" footer="0.3"/>
  <drawing r:id="rId1"/>
  <tableParts count="1">
    <tablePart r:id="rId2"/>
  </tableParts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5DBFD-720A-FE48-AE44-7FB227A21FA1}">
  <dimension ref="A1:AP61"/>
  <sheetViews>
    <sheetView topLeftCell="Q1" zoomScaleNormal="60" zoomScaleSheetLayoutView="100" workbookViewId="0">
      <selection activeCell="S37" sqref="S37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7109375" bestFit="1" customWidth="1"/>
    <col min="4" max="4" width="10.5703125" bestFit="1" customWidth="1"/>
    <col min="5" max="5" width="9" bestFit="1" customWidth="1"/>
    <col min="6" max="6" width="10.5703125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11.28515625" customWidth="1"/>
    <col min="17" max="17" width="19.425781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4" customWidth="1"/>
    <col min="37" max="37" width="13.140625" customWidth="1"/>
    <col min="38" max="38" width="14.28515625" customWidth="1"/>
    <col min="41" max="41" width="11.42578125" bestFit="1" customWidth="1"/>
    <col min="42" max="42" width="12.7109375" bestFit="1" customWidth="1"/>
  </cols>
  <sheetData>
    <row r="1" spans="1:42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731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  <c r="AO1" s="1211"/>
      <c r="AP1" s="879"/>
    </row>
    <row r="2" spans="1:42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725</v>
      </c>
      <c r="R2" s="966" t="s">
        <v>441</v>
      </c>
      <c r="S2" s="967" t="s">
        <v>700</v>
      </c>
      <c r="T2" s="966" t="s">
        <v>442</v>
      </c>
      <c r="U2" s="964" t="s">
        <v>471</v>
      </c>
      <c r="V2" s="966" t="s">
        <v>443</v>
      </c>
      <c r="W2" s="964" t="s">
        <v>461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  <c r="AO2" s="1211"/>
      <c r="AP2" s="879"/>
    </row>
    <row r="3" spans="1:42" ht="16.5" thickTop="1" thickBot="1" x14ac:dyDescent="0.3">
      <c r="A3" s="695"/>
      <c r="B3" s="979">
        <v>45368</v>
      </c>
      <c r="C3" s="945">
        <v>2000</v>
      </c>
      <c r="D3" s="619"/>
      <c r="E3" s="979"/>
      <c r="F3" s="952"/>
      <c r="G3" s="975"/>
      <c r="H3" s="952"/>
      <c r="I3" s="619"/>
      <c r="J3" s="978"/>
      <c r="K3" s="952"/>
      <c r="L3" s="959"/>
      <c r="M3" s="981"/>
      <c r="N3" s="952"/>
      <c r="O3" s="984">
        <f>AG44-AK6</f>
        <v>1174.94</v>
      </c>
      <c r="P3" s="1218">
        <f>AE44-AJ6</f>
        <v>-3499</v>
      </c>
      <c r="Q3" s="984">
        <v>130</v>
      </c>
      <c r="R3" s="937" t="s">
        <v>119</v>
      </c>
      <c r="S3" s="984">
        <v>150</v>
      </c>
      <c r="T3" s="937"/>
      <c r="U3" s="984"/>
      <c r="V3" s="937"/>
      <c r="W3" s="989"/>
      <c r="X3" s="937"/>
      <c r="Y3" s="989"/>
      <c r="Z3" s="937"/>
      <c r="AA3" s="984"/>
      <c r="AB3" s="937"/>
      <c r="AC3" s="990"/>
      <c r="AD3" s="937"/>
      <c r="AE3" s="993"/>
      <c r="AF3" s="997" t="s">
        <v>119</v>
      </c>
      <c r="AG3" s="963">
        <f>'01cash24'!AI3</f>
        <v>65</v>
      </c>
      <c r="AH3" s="299">
        <v>0</v>
      </c>
      <c r="AI3" s="300">
        <v>0</v>
      </c>
      <c r="AJ3" s="301">
        <f>AH6+AJ6</f>
        <v>3499</v>
      </c>
      <c r="AK3" s="302">
        <f>AK6+AI6</f>
        <v>1030.06</v>
      </c>
      <c r="AO3" s="1211"/>
      <c r="AP3" s="879"/>
    </row>
    <row r="4" spans="1:42" ht="19.5" thickBot="1" x14ac:dyDescent="0.3">
      <c r="A4" s="856"/>
      <c r="B4" s="979"/>
      <c r="C4" s="946"/>
      <c r="D4" s="618"/>
      <c r="E4" s="979">
        <v>45369</v>
      </c>
      <c r="F4" s="953">
        <v>60.04</v>
      </c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>
        <v>10</v>
      </c>
      <c r="R4" s="938" t="s">
        <v>732</v>
      </c>
      <c r="S4" s="986"/>
      <c r="T4" s="938"/>
      <c r="U4" s="986"/>
      <c r="V4" s="938"/>
      <c r="W4" s="990"/>
      <c r="X4" s="938"/>
      <c r="Y4" s="990"/>
      <c r="Z4" s="938"/>
      <c r="AA4" s="986"/>
      <c r="AB4" s="938"/>
      <c r="AC4" s="1051"/>
      <c r="AD4" s="938"/>
      <c r="AE4" s="994"/>
      <c r="AF4" s="997">
        <v>45369</v>
      </c>
      <c r="AG4" s="963">
        <v>50</v>
      </c>
      <c r="AH4" s="1282" t="s">
        <v>63</v>
      </c>
      <c r="AI4" s="1245"/>
      <c r="AJ4" s="1246" t="s">
        <v>64</v>
      </c>
      <c r="AK4" s="1237"/>
      <c r="AO4" s="1211"/>
      <c r="AP4" s="879"/>
    </row>
    <row r="5" spans="1:42" ht="15.75" x14ac:dyDescent="0.25">
      <c r="A5" s="856"/>
      <c r="B5" s="979"/>
      <c r="C5" s="946"/>
      <c r="D5" s="618"/>
      <c r="E5" s="979">
        <v>45371</v>
      </c>
      <c r="F5" s="953">
        <v>150</v>
      </c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1070">
        <v>20</v>
      </c>
      <c r="R5" s="1068" t="s">
        <v>733</v>
      </c>
      <c r="S5" s="986"/>
      <c r="T5" s="938"/>
      <c r="U5" s="986"/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>
        <v>45371</v>
      </c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  <c r="AO5" s="1211"/>
      <c r="AP5" s="879"/>
    </row>
    <row r="6" spans="1:42" ht="15.75" thickBot="1" x14ac:dyDescent="0.3">
      <c r="A6" s="856"/>
      <c r="B6" s="979"/>
      <c r="C6" s="946"/>
      <c r="D6" s="618"/>
      <c r="E6" s="979">
        <v>45381</v>
      </c>
      <c r="F6" s="953">
        <v>130</v>
      </c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/>
      <c r="R6" s="1068"/>
      <c r="S6" s="986"/>
      <c r="T6" s="938"/>
      <c r="U6" s="986"/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>
        <v>45376</v>
      </c>
      <c r="AG6" s="963">
        <v>500</v>
      </c>
      <c r="AH6" s="612">
        <f>A44+L44</f>
        <v>0</v>
      </c>
      <c r="AI6" s="317">
        <f>D44+H44+K44+N45</f>
        <v>0</v>
      </c>
      <c r="AJ6" s="128">
        <f>L45+C44+U48+Q47</f>
        <v>3499</v>
      </c>
      <c r="AK6" s="129">
        <f>F44+G44+I44+M45+Q44+S44+W44+Y44+AA44+AC44+Y47+Y50+AA47+AA50+AC47+AC50+U44</f>
        <v>1030.06</v>
      </c>
      <c r="AO6" s="1211"/>
      <c r="AP6" s="879"/>
    </row>
    <row r="7" spans="1:42" ht="19.5" thickBot="1" x14ac:dyDescent="0.3">
      <c r="A7" s="856"/>
      <c r="B7" s="979"/>
      <c r="C7" s="946"/>
      <c r="D7" s="618"/>
      <c r="E7" s="979">
        <v>45391</v>
      </c>
      <c r="F7" s="953">
        <v>160.01</v>
      </c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62"/>
      <c r="R7" s="1068"/>
      <c r="S7" s="986"/>
      <c r="T7" s="938"/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>
        <v>45391</v>
      </c>
      <c r="AG7" s="963">
        <v>600</v>
      </c>
      <c r="AH7" s="613" t="s">
        <v>66</v>
      </c>
      <c r="AI7" s="321" t="s">
        <v>67</v>
      </c>
      <c r="AO7" s="1211"/>
      <c r="AP7" s="879"/>
    </row>
    <row r="8" spans="1:42" x14ac:dyDescent="0.25">
      <c r="A8" s="856"/>
      <c r="B8" s="979"/>
      <c r="C8" s="946"/>
      <c r="D8" s="618"/>
      <c r="E8" s="979">
        <v>45404</v>
      </c>
      <c r="F8" s="953">
        <v>150</v>
      </c>
      <c r="G8" s="976"/>
      <c r="H8" s="953"/>
      <c r="I8" s="618"/>
      <c r="J8" s="979"/>
      <c r="K8" s="953"/>
      <c r="L8" s="960"/>
      <c r="M8" s="982"/>
      <c r="N8" s="953"/>
      <c r="O8" s="976"/>
      <c r="P8" s="946"/>
      <c r="Q8" s="1062"/>
      <c r="R8" s="1068"/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>
        <v>45401</v>
      </c>
      <c r="AG8" s="1151">
        <v>340</v>
      </c>
      <c r="AH8" s="326">
        <v>0</v>
      </c>
      <c r="AI8" s="327">
        <f>E44</f>
        <v>0</v>
      </c>
      <c r="AO8" s="1211"/>
      <c r="AP8" s="879"/>
    </row>
    <row r="9" spans="1:42" ht="15.75" thickBot="1" x14ac:dyDescent="0.3">
      <c r="A9" s="856"/>
      <c r="B9" s="979"/>
      <c r="C9" s="946"/>
      <c r="D9" s="618"/>
      <c r="E9" s="979">
        <v>45409</v>
      </c>
      <c r="F9" s="953">
        <v>70.010000000000005</v>
      </c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1062"/>
      <c r="R9" s="938"/>
      <c r="S9" s="976"/>
      <c r="T9" s="938"/>
      <c r="U9" s="1070"/>
      <c r="V9" s="1068"/>
      <c r="W9" s="990"/>
      <c r="X9" s="938"/>
      <c r="Y9" s="990"/>
      <c r="Z9" s="938"/>
      <c r="AA9" s="986"/>
      <c r="AB9" s="938"/>
      <c r="AC9" s="990"/>
      <c r="AD9" s="938"/>
      <c r="AE9" s="1143"/>
      <c r="AF9" s="997">
        <v>45408</v>
      </c>
      <c r="AG9" s="1151">
        <v>150</v>
      </c>
      <c r="AH9" s="1244">
        <f>AH8-AI8</f>
        <v>0</v>
      </c>
      <c r="AI9" s="1222"/>
      <c r="AO9" s="1210"/>
      <c r="AP9" s="879"/>
    </row>
    <row r="10" spans="1:42" x14ac:dyDescent="0.25">
      <c r="A10" s="1155"/>
      <c r="B10" s="979">
        <v>45409</v>
      </c>
      <c r="C10" s="1060">
        <v>1000</v>
      </c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62"/>
      <c r="R10" s="1068"/>
      <c r="S10" s="1069"/>
      <c r="T10" s="1068"/>
      <c r="U10" s="1070"/>
      <c r="V10" s="1068"/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/>
      <c r="AG10" s="1151"/>
      <c r="AH10" s="610"/>
      <c r="AI10" s="1052"/>
    </row>
    <row r="11" spans="1:42" x14ac:dyDescent="0.25">
      <c r="A11" s="1155"/>
      <c r="B11" s="979">
        <v>45412</v>
      </c>
      <c r="C11" s="1060">
        <v>499</v>
      </c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/>
      <c r="R11" s="1068"/>
      <c r="S11" s="1069"/>
      <c r="T11" s="1068"/>
      <c r="U11" s="1070"/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/>
      <c r="AG11" s="963"/>
      <c r="AH11" s="610"/>
      <c r="AI11" s="1052"/>
    </row>
    <row r="12" spans="1:42" x14ac:dyDescent="0.25">
      <c r="A12" s="1155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/>
      <c r="R12" s="1068"/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073"/>
      <c r="AG12" s="1216"/>
      <c r="AH12" s="1171"/>
      <c r="AI12" s="1203"/>
      <c r="AJ12" s="1206"/>
      <c r="AK12" s="1204"/>
      <c r="AL12" s="1207"/>
    </row>
    <row r="13" spans="1:42" x14ac:dyDescent="0.25">
      <c r="A13" s="1155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/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1201"/>
      <c r="AH13" s="1171"/>
      <c r="AI13" s="1203"/>
      <c r="AJ13" s="1206"/>
      <c r="AK13" s="1204"/>
      <c r="AL13" s="1207"/>
    </row>
    <row r="14" spans="1:42" x14ac:dyDescent="0.25">
      <c r="A14" s="856"/>
      <c r="B14" s="979"/>
      <c r="C14" s="946"/>
      <c r="D14" s="663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1070"/>
      <c r="V14" s="1068"/>
      <c r="W14" s="990"/>
      <c r="X14" s="938"/>
      <c r="Y14" s="990"/>
      <c r="Z14" s="938"/>
      <c r="AA14" s="976"/>
      <c r="AB14" s="938"/>
      <c r="AC14" s="991"/>
      <c r="AD14" s="938"/>
      <c r="AE14" s="994"/>
      <c r="AF14" s="1073"/>
      <c r="AG14" s="1073"/>
      <c r="AH14" s="1171"/>
      <c r="AI14" s="1203"/>
      <c r="AJ14" s="1206"/>
      <c r="AK14" s="1204"/>
      <c r="AL14" s="1207"/>
    </row>
    <row r="15" spans="1:42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1070"/>
      <c r="V15" s="106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1201"/>
      <c r="AH15" s="1171"/>
      <c r="AI15" s="1204"/>
      <c r="AJ15" s="1206"/>
      <c r="AK15" s="1204"/>
      <c r="AL15" s="1207"/>
    </row>
    <row r="16" spans="1:42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1070"/>
      <c r="V16" s="106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1201"/>
      <c r="AH16" s="1171"/>
      <c r="AI16" s="1204"/>
      <c r="AJ16" s="1206"/>
      <c r="AK16" s="1204"/>
      <c r="AL16" s="1207"/>
    </row>
    <row r="17" spans="1:38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1201"/>
      <c r="AH17" s="1171"/>
      <c r="AI17" s="1204"/>
      <c r="AJ17" s="1206"/>
      <c r="AK17" s="1204"/>
      <c r="AL17" s="1207"/>
    </row>
    <row r="18" spans="1:38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1201"/>
      <c r="AH18" s="1171"/>
      <c r="AI18" s="1204"/>
      <c r="AJ18" s="1206"/>
      <c r="AK18" s="1204"/>
      <c r="AL18" s="1207"/>
    </row>
    <row r="19" spans="1:38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1201"/>
      <c r="AH19" s="1171"/>
      <c r="AI19" s="1204"/>
      <c r="AJ19" s="1206"/>
      <c r="AK19" s="1204"/>
      <c r="AL19" s="1207"/>
    </row>
    <row r="20" spans="1:38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1070"/>
      <c r="V20" s="1068"/>
      <c r="W20" s="990"/>
      <c r="X20" s="938"/>
      <c r="Y20" s="990"/>
      <c r="Z20" s="938"/>
      <c r="AA20" s="986"/>
      <c r="AB20" s="938"/>
      <c r="AC20" s="991"/>
      <c r="AD20" s="938"/>
      <c r="AE20" s="994"/>
      <c r="AF20" s="1073"/>
      <c r="AG20" s="1201"/>
      <c r="AH20" s="1171"/>
      <c r="AI20" s="1204"/>
      <c r="AJ20" s="1206"/>
      <c r="AK20" s="1204"/>
      <c r="AL20" s="1207"/>
    </row>
    <row r="21" spans="1:38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1070"/>
      <c r="V21" s="106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1201"/>
      <c r="AH21" s="1171"/>
      <c r="AI21" s="1204"/>
      <c r="AJ21" s="1206"/>
      <c r="AK21" s="1204"/>
      <c r="AL21" s="1207"/>
    </row>
    <row r="22" spans="1:38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1201"/>
      <c r="AH22" s="1171"/>
      <c r="AI22" s="1204"/>
      <c r="AJ22" s="1206"/>
      <c r="AK22" s="1204"/>
      <c r="AL22" s="1207"/>
    </row>
    <row r="23" spans="1:38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1201"/>
      <c r="AH23" s="1171"/>
      <c r="AI23" s="1204"/>
      <c r="AJ23" s="1206"/>
      <c r="AK23" s="1204"/>
      <c r="AL23" s="1207"/>
    </row>
    <row r="24" spans="1:38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1201"/>
      <c r="AH24" s="1171"/>
      <c r="AI24" s="1204"/>
      <c r="AJ24" s="1206"/>
      <c r="AK24" s="1204"/>
      <c r="AL24" s="1207"/>
    </row>
    <row r="25" spans="1:38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1201"/>
      <c r="AH25" s="1171"/>
      <c r="AI25" s="1204"/>
      <c r="AJ25" s="1206"/>
      <c r="AK25" s="1204"/>
      <c r="AL25" s="1207"/>
    </row>
    <row r="26" spans="1:38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1201"/>
      <c r="AH26" s="1171"/>
      <c r="AI26" s="1204"/>
      <c r="AJ26" s="1206"/>
      <c r="AK26" s="1204"/>
      <c r="AL26" s="1207"/>
    </row>
    <row r="27" spans="1:38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1201"/>
      <c r="AH27" s="1171"/>
      <c r="AI27" s="1204"/>
      <c r="AJ27" s="1206"/>
      <c r="AK27" s="1204"/>
      <c r="AL27" s="1207"/>
    </row>
    <row r="28" spans="1:38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1201"/>
      <c r="AH28" s="1171"/>
      <c r="AI28" s="1204"/>
      <c r="AJ28" s="1206"/>
      <c r="AK28" s="1204"/>
      <c r="AL28" s="1207"/>
    </row>
    <row r="29" spans="1:38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1171"/>
      <c r="AI29" s="1204"/>
      <c r="AJ29" s="1206"/>
      <c r="AK29" s="1204"/>
      <c r="AL29" s="1207"/>
    </row>
    <row r="30" spans="1:38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1171"/>
      <c r="AI30" s="1205"/>
      <c r="AJ30" s="1206"/>
      <c r="AK30" s="1204"/>
      <c r="AL30" s="1207"/>
    </row>
    <row r="31" spans="1:38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1171"/>
      <c r="AI31" s="1205"/>
      <c r="AJ31" s="1206"/>
      <c r="AK31" s="1204"/>
      <c r="AL31" s="1207"/>
    </row>
    <row r="32" spans="1:38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1171"/>
      <c r="AI32" s="1204"/>
      <c r="AJ32" s="1206"/>
      <c r="AK32" s="1204"/>
      <c r="AL32" s="1207"/>
    </row>
    <row r="33" spans="1:38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1171"/>
      <c r="AI33" s="1205"/>
      <c r="AJ33" s="1206"/>
      <c r="AK33" s="1204"/>
      <c r="AL33" s="1207"/>
    </row>
    <row r="34" spans="1:38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1171"/>
      <c r="AI34" s="1204"/>
      <c r="AJ34" s="1206"/>
      <c r="AK34" s="1204"/>
      <c r="AL34" s="1207"/>
    </row>
    <row r="35" spans="1:38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1171"/>
      <c r="AI35" s="1204"/>
      <c r="AJ35" s="1206"/>
      <c r="AK35" s="1204"/>
      <c r="AL35" s="1207"/>
    </row>
    <row r="36" spans="1:38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1171"/>
      <c r="AI36" s="1204"/>
      <c r="AJ36" s="1206"/>
      <c r="AK36" s="1204"/>
      <c r="AL36" s="1207"/>
    </row>
    <row r="37" spans="1:38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 t="s">
        <v>734</v>
      </c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8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8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  <c r="AI39" s="1204"/>
      <c r="AJ39" s="1206"/>
      <c r="AK39" s="1204"/>
    </row>
    <row r="40" spans="1:38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8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8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8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8" x14ac:dyDescent="0.25">
      <c r="A44" s="872">
        <f>SUM(A3:A42)</f>
        <v>0</v>
      </c>
      <c r="B44" s="626"/>
      <c r="C44" s="949">
        <f>SUM(C3:C42)</f>
        <v>3499</v>
      </c>
      <c r="D44" s="950">
        <f>SUM(D3:D42)</f>
        <v>0</v>
      </c>
      <c r="E44" s="629">
        <v>0</v>
      </c>
      <c r="F44" s="956">
        <f>SUM(F3:F42)</f>
        <v>720.06</v>
      </c>
      <c r="G44" s="936">
        <f>SUM(G3:G42)</f>
        <v>0</v>
      </c>
      <c r="H44" s="957">
        <f>SUM(H3:H42)</f>
        <v>0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1174.94</v>
      </c>
      <c r="P44" s="1078" t="s">
        <v>395</v>
      </c>
      <c r="Q44" s="1045">
        <f>SUM(Q3:Q38)</f>
        <v>160</v>
      </c>
      <c r="R44" s="1078" t="s">
        <v>103</v>
      </c>
      <c r="S44" s="1045">
        <f>SUM(S3:S42)</f>
        <v>150</v>
      </c>
      <c r="T44" s="1078" t="s">
        <v>103</v>
      </c>
      <c r="U44" s="1045">
        <f>SUM(U3:U42)</f>
        <v>0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0</v>
      </c>
      <c r="AF44" s="629"/>
      <c r="AG44" s="957">
        <f>SUM(AG3:AG42)</f>
        <v>2205</v>
      </c>
      <c r="AH44" s="614"/>
    </row>
    <row r="45" spans="1:38" ht="15.75" thickBot="1" x14ac:dyDescent="0.3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N3+N4+N5+N6+N7+N8+N9+N10</f>
        <v>0</v>
      </c>
      <c r="N45" s="1059"/>
      <c r="O45" s="1023">
        <v>100</v>
      </c>
      <c r="P45" s="935" t="s">
        <v>416</v>
      </c>
      <c r="Q45" s="1118">
        <f>Q3+Q4+Q5+Q6+Q7+Q8+Q9+Q11+Q11+Q10</f>
        <v>160</v>
      </c>
      <c r="R45" s="935" t="str">
        <f>P45</f>
        <v>Červenec</v>
      </c>
      <c r="S45" s="1023">
        <f>S44</f>
        <v>150</v>
      </c>
      <c r="T45" s="935" t="str">
        <f>P45</f>
        <v>Červenec</v>
      </c>
      <c r="U45" s="1023">
        <v>0</v>
      </c>
      <c r="V45" s="935" t="str">
        <f>P45</f>
        <v>Červenec</v>
      </c>
      <c r="W45" s="1024">
        <v>0</v>
      </c>
      <c r="X45" s="935" t="str">
        <f>P45</f>
        <v>Červenec</v>
      </c>
      <c r="Y45" s="1024">
        <v>0</v>
      </c>
      <c r="Z45" s="935" t="str">
        <f>P45</f>
        <v>Červenec</v>
      </c>
      <c r="AA45" s="1024">
        <v>0</v>
      </c>
      <c r="AB45" s="935" t="str">
        <f>P45</f>
        <v>Červenec</v>
      </c>
      <c r="AC45" s="1024">
        <v>0</v>
      </c>
      <c r="AD45" s="935" t="str">
        <f>P45</f>
        <v>Červenec</v>
      </c>
      <c r="AE45" s="951"/>
      <c r="AF45" s="635"/>
      <c r="AG45" s="935"/>
      <c r="AH45" s="614"/>
    </row>
    <row r="46" spans="1:38" ht="16.5" thickTop="1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>
        <f>O44-O45</f>
        <v>1074.94</v>
      </c>
      <c r="P46" s="971" t="s">
        <v>541</v>
      </c>
      <c r="Q46" s="973"/>
      <c r="R46" s="971" t="str">
        <f>P46</f>
        <v>Srpen</v>
      </c>
      <c r="S46" s="973"/>
      <c r="T46" s="971" t="str">
        <f>P46</f>
        <v>Srpen</v>
      </c>
      <c r="U46" s="973">
        <f>U44-U45</f>
        <v>0</v>
      </c>
      <c r="V46" s="971" t="str">
        <f>P46</f>
        <v>Srpen</v>
      </c>
      <c r="W46" s="974">
        <f>W44-W45</f>
        <v>0</v>
      </c>
      <c r="X46" s="971" t="str">
        <f>P46</f>
        <v>Srpen</v>
      </c>
      <c r="Y46" s="974">
        <f>Y44-Y45</f>
        <v>0</v>
      </c>
      <c r="Z46" s="971" t="str">
        <f>P46</f>
        <v>Srpen</v>
      </c>
      <c r="AA46" s="974">
        <f>AA44-AA45</f>
        <v>0</v>
      </c>
      <c r="AB46" s="971" t="str">
        <f>P46</f>
        <v>Srpen</v>
      </c>
      <c r="AC46" s="1022">
        <f>AC44-AC45</f>
        <v>0</v>
      </c>
      <c r="AD46" s="971" t="str">
        <f>P46</f>
        <v>Srpen</v>
      </c>
      <c r="AE46" s="972"/>
      <c r="AF46" s="970"/>
      <c r="AG46" s="971"/>
      <c r="AH46" s="614"/>
    </row>
    <row r="47" spans="1:38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826"/>
      <c r="P47" s="610"/>
      <c r="Q47" s="1217">
        <f>Q44-Q45-Q46</f>
        <v>0</v>
      </c>
      <c r="R47" s="1031" t="s">
        <v>416</v>
      </c>
      <c r="S47" s="1032"/>
      <c r="T47" s="610"/>
      <c r="U47" s="1212"/>
      <c r="V47" s="3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8" x14ac:dyDescent="0.25">
      <c r="Q48" s="1033"/>
      <c r="R48" s="1034"/>
      <c r="S48" s="1035"/>
      <c r="U48" s="1213"/>
      <c r="V48" s="610"/>
      <c r="X48" s="610"/>
      <c r="Y48" s="1076">
        <v>0</v>
      </c>
      <c r="Z48" s="935" t="str">
        <f>P45</f>
        <v>Červenec</v>
      </c>
      <c r="AA48" s="1024">
        <v>0</v>
      </c>
      <c r="AB48" s="935" t="str">
        <f>P45</f>
        <v>Červenec</v>
      </c>
      <c r="AC48" s="1024">
        <v>0</v>
      </c>
      <c r="AD48" s="935" t="str">
        <f>P45</f>
        <v>Červenec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>Srpen</v>
      </c>
      <c r="AA49" s="974">
        <f>AA47-AA48</f>
        <v>0</v>
      </c>
      <c r="AB49" s="971" t="str">
        <f>P46</f>
        <v>Srpen</v>
      </c>
      <c r="AC49" s="974">
        <f>AC47-AC48</f>
        <v>0</v>
      </c>
      <c r="AD49" s="971" t="str">
        <f>P46</f>
        <v>Srpen</v>
      </c>
    </row>
    <row r="50" spans="17:31" ht="15.75" thickTop="1" x14ac:dyDescent="0.25">
      <c r="R50" s="1215"/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929"/>
      <c r="S51" s="1035"/>
      <c r="X51" s="610"/>
      <c r="Y51" s="1076">
        <v>0</v>
      </c>
      <c r="Z51" s="935" t="str">
        <f>P45</f>
        <v>Červenec</v>
      </c>
      <c r="AA51" s="1024">
        <v>0</v>
      </c>
      <c r="AB51" s="935" t="str">
        <f>P45</f>
        <v>Červenec</v>
      </c>
      <c r="AC51" s="1024">
        <v>0</v>
      </c>
      <c r="AD51" s="935" t="str">
        <f>P45</f>
        <v>Červenec</v>
      </c>
    </row>
    <row r="52" spans="17:31" ht="15.75" thickBot="1" x14ac:dyDescent="0.3">
      <c r="Q52" s="929"/>
      <c r="S52" s="1035"/>
      <c r="X52" s="610"/>
      <c r="Y52" s="1077">
        <f>Y50-Y51</f>
        <v>0</v>
      </c>
      <c r="Z52" s="971" t="str">
        <f>P46</f>
        <v>Srpen</v>
      </c>
      <c r="AA52" s="974">
        <f>AA50-AA51</f>
        <v>0</v>
      </c>
      <c r="AB52" s="971" t="str">
        <f>P46</f>
        <v>Srpen</v>
      </c>
      <c r="AC52" s="974">
        <f>AC50-AC51</f>
        <v>0</v>
      </c>
      <c r="AD52" s="971" t="str">
        <f>P46</f>
        <v>Srpen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1:F1"/>
    <mergeCell ref="G1:H1"/>
    <mergeCell ref="I1:K1"/>
    <mergeCell ref="L1:N1"/>
    <mergeCell ref="O1:P1"/>
    <mergeCell ref="Q43:R43"/>
    <mergeCell ref="AE1:AG1"/>
    <mergeCell ref="AH1:AI1"/>
    <mergeCell ref="AJ1:AK1"/>
    <mergeCell ref="AH4:AI4"/>
    <mergeCell ref="AJ4:AK4"/>
    <mergeCell ref="AH9:AI9"/>
    <mergeCell ref="Q1:AD1"/>
    <mergeCell ref="A43:C43"/>
    <mergeCell ref="G43:H43"/>
    <mergeCell ref="I43:K43"/>
    <mergeCell ref="L43:N43"/>
    <mergeCell ref="O43:P43"/>
    <mergeCell ref="AE43:AG43"/>
    <mergeCell ref="S43:T43"/>
    <mergeCell ref="U43:V43"/>
    <mergeCell ref="W43:X43"/>
    <mergeCell ref="Y43:Z43"/>
    <mergeCell ref="AA43:AB43"/>
    <mergeCell ref="AC43:AD43"/>
  </mergeCells>
  <phoneticPr fontId="30" alignment="center"/>
  <pageMargins left="0.7" right="0.7" top="0.75" bottom="0.75" header="0.3" footer="0.3"/>
  <pageSetup scale="0" firstPageNumber="0" fitToWidth="0" fitToHeight="0" orientation="portrait" horizontalDpi="0" verticalDpi="0" copies="0"/>
  <tableParts count="1">
    <tablePart r:id="rId1"/>
  </tableParts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FCA978-DB1B-F844-8366-D157FC5E0A5F}">
  <dimension ref="A1:AP61"/>
  <sheetViews>
    <sheetView topLeftCell="Q37" zoomScaleNormal="60" zoomScaleSheetLayoutView="100" workbookViewId="0">
      <selection activeCell="T58" sqref="T58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7109375" bestFit="1" customWidth="1"/>
    <col min="4" max="4" width="10.5703125" bestFit="1" customWidth="1"/>
    <col min="5" max="5" width="9" bestFit="1" customWidth="1"/>
    <col min="6" max="6" width="10.5703125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11.28515625" customWidth="1"/>
    <col min="17" max="17" width="15.285156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4" customWidth="1"/>
    <col min="37" max="37" width="13.140625" customWidth="1"/>
    <col min="38" max="38" width="14.28515625" customWidth="1"/>
    <col min="41" max="41" width="11.42578125" bestFit="1" customWidth="1"/>
    <col min="42" max="42" width="12.7109375" bestFit="1" customWidth="1"/>
  </cols>
  <sheetData>
    <row r="1" spans="1:42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705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  <c r="AO1" s="1211"/>
      <c r="AP1" s="879"/>
    </row>
    <row r="2" spans="1:42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725</v>
      </c>
      <c r="R2" s="966" t="s">
        <v>441</v>
      </c>
      <c r="S2" s="967" t="s">
        <v>700</v>
      </c>
      <c r="T2" s="966" t="s">
        <v>442</v>
      </c>
      <c r="U2" s="964" t="s">
        <v>471</v>
      </c>
      <c r="V2" s="966" t="s">
        <v>443</v>
      </c>
      <c r="W2" s="964" t="s">
        <v>461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  <c r="AO2" s="1211"/>
      <c r="AP2" s="879"/>
    </row>
    <row r="3" spans="1:42" ht="16.5" thickTop="1" thickBot="1" x14ac:dyDescent="0.3">
      <c r="A3" s="695"/>
      <c r="B3" s="979">
        <v>45368</v>
      </c>
      <c r="C3" s="945">
        <v>2000</v>
      </c>
      <c r="D3" s="619"/>
      <c r="E3" s="979"/>
      <c r="F3" s="952"/>
      <c r="G3" s="975"/>
      <c r="H3" s="952"/>
      <c r="I3" s="619"/>
      <c r="J3" s="978"/>
      <c r="K3" s="952"/>
      <c r="L3" s="959"/>
      <c r="M3" s="981"/>
      <c r="N3" s="952"/>
      <c r="O3" s="984">
        <f>AG44-AK6</f>
        <v>354.94000000000005</v>
      </c>
      <c r="P3" s="1218">
        <f>AE44-AJ6</f>
        <v>-3629</v>
      </c>
      <c r="Q3" s="984">
        <v>100</v>
      </c>
      <c r="R3" s="937" t="s">
        <v>729</v>
      </c>
      <c r="S3" s="984">
        <v>150</v>
      </c>
      <c r="T3" s="937"/>
      <c r="U3" s="984"/>
      <c r="V3" s="937"/>
      <c r="W3" s="989"/>
      <c r="X3" s="937"/>
      <c r="Y3" s="989"/>
      <c r="Z3" s="937"/>
      <c r="AA3" s="984"/>
      <c r="AB3" s="937"/>
      <c r="AC3" s="990"/>
      <c r="AD3" s="937"/>
      <c r="AE3" s="993"/>
      <c r="AF3" s="997" t="s">
        <v>119</v>
      </c>
      <c r="AG3" s="963">
        <f>'01cash24'!AI3</f>
        <v>65</v>
      </c>
      <c r="AH3" s="299">
        <v>0</v>
      </c>
      <c r="AI3" s="300">
        <v>0</v>
      </c>
      <c r="AJ3" s="301">
        <f>AH6+AJ6</f>
        <v>3629</v>
      </c>
      <c r="AK3" s="302">
        <f>AK6+AI6</f>
        <v>1850.06</v>
      </c>
      <c r="AO3" s="1211"/>
      <c r="AP3" s="879"/>
    </row>
    <row r="4" spans="1:42" ht="19.5" thickBot="1" x14ac:dyDescent="0.3">
      <c r="A4" s="856"/>
      <c r="B4" s="979"/>
      <c r="C4" s="946"/>
      <c r="D4" s="618"/>
      <c r="E4" s="979">
        <v>45369</v>
      </c>
      <c r="F4" s="953">
        <v>60.04</v>
      </c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>
        <v>100</v>
      </c>
      <c r="R4" s="938" t="s">
        <v>729</v>
      </c>
      <c r="S4" s="986" t="s">
        <v>677</v>
      </c>
      <c r="T4" s="938"/>
      <c r="U4" s="986"/>
      <c r="V4" s="938"/>
      <c r="W4" s="990"/>
      <c r="X4" s="938"/>
      <c r="Y4" s="990"/>
      <c r="Z4" s="938"/>
      <c r="AA4" s="986"/>
      <c r="AB4" s="938"/>
      <c r="AC4" s="1051"/>
      <c r="AD4" s="938"/>
      <c r="AE4" s="994"/>
      <c r="AF4" s="997">
        <v>45369</v>
      </c>
      <c r="AG4" s="963">
        <v>50</v>
      </c>
      <c r="AH4" s="1282" t="s">
        <v>63</v>
      </c>
      <c r="AI4" s="1245"/>
      <c r="AJ4" s="1246" t="s">
        <v>64</v>
      </c>
      <c r="AK4" s="1237"/>
      <c r="AO4" s="1211"/>
      <c r="AP4" s="879"/>
    </row>
    <row r="5" spans="1:42" ht="15.75" x14ac:dyDescent="0.25">
      <c r="A5" s="856"/>
      <c r="B5" s="979"/>
      <c r="C5" s="946"/>
      <c r="D5" s="618"/>
      <c r="E5" s="979">
        <v>45371</v>
      </c>
      <c r="F5" s="953">
        <v>150</v>
      </c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1070">
        <v>100</v>
      </c>
      <c r="R5" s="1068" t="s">
        <v>729</v>
      </c>
      <c r="S5" s="986"/>
      <c r="T5" s="938"/>
      <c r="U5" s="986"/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>
        <v>45371</v>
      </c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  <c r="AO5" s="1211"/>
      <c r="AP5" s="879"/>
    </row>
    <row r="6" spans="1:42" ht="15.75" thickBot="1" x14ac:dyDescent="0.3">
      <c r="A6" s="856"/>
      <c r="B6" s="979"/>
      <c r="C6" s="946"/>
      <c r="D6" s="618"/>
      <c r="E6" s="979">
        <v>45381</v>
      </c>
      <c r="F6" s="953">
        <v>130</v>
      </c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>
        <v>210</v>
      </c>
      <c r="R6" s="1068" t="s">
        <v>726</v>
      </c>
      <c r="S6" s="986"/>
      <c r="T6" s="938"/>
      <c r="U6" s="986"/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>
        <v>45376</v>
      </c>
      <c r="AG6" s="963">
        <v>500</v>
      </c>
      <c r="AH6" s="612">
        <f>A44+L44</f>
        <v>0</v>
      </c>
      <c r="AI6" s="317">
        <f>D44+H44+K44+N45</f>
        <v>0</v>
      </c>
      <c r="AJ6" s="128">
        <f>L45+C44+U48+Q47</f>
        <v>3629</v>
      </c>
      <c r="AK6" s="129">
        <f>F44+G44+I44+M45+Q44+S44+W44+Y44+AA44+AC44+Y47+Y50+AA47+AA50+AC47+AC50+U44</f>
        <v>1850.06</v>
      </c>
      <c r="AO6" s="1211"/>
      <c r="AP6" s="879"/>
    </row>
    <row r="7" spans="1:42" ht="19.5" thickBot="1" x14ac:dyDescent="0.3">
      <c r="A7" s="856"/>
      <c r="B7" s="979"/>
      <c r="C7" s="946"/>
      <c r="D7" s="618"/>
      <c r="E7" s="979">
        <v>45391</v>
      </c>
      <c r="F7" s="953">
        <v>160.01</v>
      </c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62">
        <v>105</v>
      </c>
      <c r="R7" s="1068" t="s">
        <v>316</v>
      </c>
      <c r="S7" s="986"/>
      <c r="T7" s="938"/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>
        <v>45391</v>
      </c>
      <c r="AG7" s="963">
        <v>600</v>
      </c>
      <c r="AH7" s="613" t="s">
        <v>66</v>
      </c>
      <c r="AI7" s="321" t="s">
        <v>67</v>
      </c>
      <c r="AO7" s="1211"/>
      <c r="AP7" s="879"/>
    </row>
    <row r="8" spans="1:42" x14ac:dyDescent="0.25">
      <c r="A8" s="856"/>
      <c r="B8" s="979"/>
      <c r="C8" s="946"/>
      <c r="D8" s="618"/>
      <c r="E8" s="979">
        <v>45404</v>
      </c>
      <c r="F8" s="953">
        <v>150</v>
      </c>
      <c r="G8" s="976"/>
      <c r="H8" s="953"/>
      <c r="I8" s="618"/>
      <c r="J8" s="979"/>
      <c r="K8" s="953"/>
      <c r="L8" s="960"/>
      <c r="M8" s="982"/>
      <c r="N8" s="953"/>
      <c r="O8" s="976"/>
      <c r="P8" s="946"/>
      <c r="Q8" s="1062">
        <v>30</v>
      </c>
      <c r="R8" s="1068" t="s">
        <v>727</v>
      </c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>
        <v>45401</v>
      </c>
      <c r="AG8" s="1151">
        <v>340</v>
      </c>
      <c r="AH8" s="326">
        <v>0</v>
      </c>
      <c r="AI8" s="327">
        <f>E44</f>
        <v>0</v>
      </c>
      <c r="AO8" s="1211"/>
      <c r="AP8" s="879"/>
    </row>
    <row r="9" spans="1:42" ht="15.75" thickBot="1" x14ac:dyDescent="0.3">
      <c r="A9" s="856"/>
      <c r="B9" s="979"/>
      <c r="C9" s="946"/>
      <c r="D9" s="618"/>
      <c r="E9" s="979">
        <v>45409</v>
      </c>
      <c r="F9" s="953">
        <v>70.010000000000005</v>
      </c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1062">
        <v>70</v>
      </c>
      <c r="R9" s="938" t="s">
        <v>316</v>
      </c>
      <c r="S9" s="976"/>
      <c r="T9" s="938"/>
      <c r="U9" s="1070"/>
      <c r="V9" s="1068"/>
      <c r="W9" s="990"/>
      <c r="X9" s="938"/>
      <c r="Y9" s="990"/>
      <c r="Z9" s="938"/>
      <c r="AA9" s="986"/>
      <c r="AB9" s="938"/>
      <c r="AC9" s="990"/>
      <c r="AD9" s="938"/>
      <c r="AE9" s="1143"/>
      <c r="AF9" s="997">
        <v>45408</v>
      </c>
      <c r="AG9" s="1151">
        <v>150</v>
      </c>
      <c r="AH9" s="1244">
        <f>AH8-AI8</f>
        <v>0</v>
      </c>
      <c r="AI9" s="1222"/>
      <c r="AO9" s="1210"/>
      <c r="AP9" s="879"/>
    </row>
    <row r="10" spans="1:42" x14ac:dyDescent="0.25">
      <c r="A10" s="1155"/>
      <c r="B10" s="979">
        <v>45409</v>
      </c>
      <c r="C10" s="1060">
        <v>1000</v>
      </c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62">
        <v>15</v>
      </c>
      <c r="R10" s="1068" t="s">
        <v>728</v>
      </c>
      <c r="S10" s="1069"/>
      <c r="T10" s="1068"/>
      <c r="U10" s="1070"/>
      <c r="V10" s="1068"/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/>
      <c r="AG10" s="1151"/>
      <c r="AH10" s="610"/>
      <c r="AI10" s="1052"/>
    </row>
    <row r="11" spans="1:42" x14ac:dyDescent="0.25">
      <c r="A11" s="1155"/>
      <c r="B11" s="979">
        <v>45412</v>
      </c>
      <c r="C11" s="1060">
        <v>499</v>
      </c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>
        <v>70</v>
      </c>
      <c r="R11" s="1068" t="s">
        <v>316</v>
      </c>
      <c r="S11" s="1069"/>
      <c r="T11" s="1068"/>
      <c r="U11" s="1070"/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/>
      <c r="AG11" s="963"/>
      <c r="AH11" s="610"/>
      <c r="AI11" s="1052"/>
    </row>
    <row r="12" spans="1:42" x14ac:dyDescent="0.25">
      <c r="A12" s="1155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>
        <v>30</v>
      </c>
      <c r="R12" s="1068" t="s">
        <v>729</v>
      </c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073"/>
      <c r="AG12" s="1216"/>
      <c r="AH12" s="1171"/>
      <c r="AI12" s="1203"/>
      <c r="AJ12" s="1206"/>
      <c r="AK12" s="1204"/>
      <c r="AL12" s="1207"/>
    </row>
    <row r="13" spans="1:42" x14ac:dyDescent="0.25">
      <c r="A13" s="1155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>
        <v>150</v>
      </c>
      <c r="R13" s="1068" t="s">
        <v>730</v>
      </c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1201"/>
      <c r="AH13" s="1171"/>
      <c r="AI13" s="1203"/>
      <c r="AJ13" s="1206"/>
      <c r="AK13" s="1204"/>
      <c r="AL13" s="1207"/>
    </row>
    <row r="14" spans="1:42" x14ac:dyDescent="0.25">
      <c r="A14" s="856"/>
      <c r="B14" s="979"/>
      <c r="C14" s="946"/>
      <c r="D14" s="663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1070"/>
      <c r="V14" s="1068"/>
      <c r="W14" s="990"/>
      <c r="X14" s="938"/>
      <c r="Y14" s="990"/>
      <c r="Z14" s="938"/>
      <c r="AA14" s="976"/>
      <c r="AB14" s="938"/>
      <c r="AC14" s="991"/>
      <c r="AD14" s="938"/>
      <c r="AE14" s="994"/>
      <c r="AF14" s="1073"/>
      <c r="AG14" s="1073"/>
      <c r="AH14" s="1171"/>
      <c r="AI14" s="1203"/>
      <c r="AJ14" s="1206"/>
      <c r="AK14" s="1204"/>
      <c r="AL14" s="1207"/>
    </row>
    <row r="15" spans="1:42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1070"/>
      <c r="V15" s="106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1201"/>
      <c r="AH15" s="1171"/>
      <c r="AI15" s="1204"/>
      <c r="AJ15" s="1206"/>
      <c r="AK15" s="1204"/>
      <c r="AL15" s="1207"/>
    </row>
    <row r="16" spans="1:42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1070"/>
      <c r="V16" s="106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1201"/>
      <c r="AH16" s="1171"/>
      <c r="AI16" s="1204"/>
      <c r="AJ16" s="1206"/>
      <c r="AK16" s="1204"/>
      <c r="AL16" s="1207"/>
    </row>
    <row r="17" spans="1:38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1201"/>
      <c r="AH17" s="1171"/>
      <c r="AI17" s="1204"/>
      <c r="AJ17" s="1206"/>
      <c r="AK17" s="1204"/>
      <c r="AL17" s="1207"/>
    </row>
    <row r="18" spans="1:38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1201"/>
      <c r="AH18" s="1171"/>
      <c r="AI18" s="1204"/>
      <c r="AJ18" s="1206"/>
      <c r="AK18" s="1204"/>
      <c r="AL18" s="1207"/>
    </row>
    <row r="19" spans="1:38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1201"/>
      <c r="AH19" s="1171"/>
      <c r="AI19" s="1204"/>
      <c r="AJ19" s="1206"/>
      <c r="AK19" s="1204"/>
      <c r="AL19" s="1207"/>
    </row>
    <row r="20" spans="1:38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1070"/>
      <c r="V20" s="1068"/>
      <c r="W20" s="990"/>
      <c r="X20" s="938"/>
      <c r="Y20" s="990"/>
      <c r="Z20" s="938"/>
      <c r="AA20" s="986"/>
      <c r="AB20" s="938"/>
      <c r="AC20" s="991"/>
      <c r="AD20" s="938"/>
      <c r="AE20" s="994"/>
      <c r="AF20" s="1073"/>
      <c r="AG20" s="1201"/>
      <c r="AH20" s="1171"/>
      <c r="AI20" s="1204"/>
      <c r="AJ20" s="1206"/>
      <c r="AK20" s="1204"/>
      <c r="AL20" s="1207"/>
    </row>
    <row r="21" spans="1:38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1070"/>
      <c r="V21" s="106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1201"/>
      <c r="AH21" s="1171"/>
      <c r="AI21" s="1204"/>
      <c r="AJ21" s="1206"/>
      <c r="AK21" s="1204"/>
      <c r="AL21" s="1207"/>
    </row>
    <row r="22" spans="1:38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1201"/>
      <c r="AH22" s="1171"/>
      <c r="AI22" s="1204"/>
      <c r="AJ22" s="1206"/>
      <c r="AK22" s="1204"/>
      <c r="AL22" s="1207"/>
    </row>
    <row r="23" spans="1:38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1201"/>
      <c r="AH23" s="1171"/>
      <c r="AI23" s="1204"/>
      <c r="AJ23" s="1206"/>
      <c r="AK23" s="1204"/>
      <c r="AL23" s="1207"/>
    </row>
    <row r="24" spans="1:38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1201"/>
      <c r="AH24" s="1171"/>
      <c r="AI24" s="1204"/>
      <c r="AJ24" s="1206"/>
      <c r="AK24" s="1204"/>
      <c r="AL24" s="1207"/>
    </row>
    <row r="25" spans="1:38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1201"/>
      <c r="AH25" s="1171"/>
      <c r="AI25" s="1204"/>
      <c r="AJ25" s="1206"/>
      <c r="AK25" s="1204"/>
      <c r="AL25" s="1207"/>
    </row>
    <row r="26" spans="1:38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1201"/>
      <c r="AH26" s="1171"/>
      <c r="AI26" s="1204"/>
      <c r="AJ26" s="1206"/>
      <c r="AK26" s="1204"/>
      <c r="AL26" s="1207"/>
    </row>
    <row r="27" spans="1:38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1201"/>
      <c r="AH27" s="1171"/>
      <c r="AI27" s="1204"/>
      <c r="AJ27" s="1206"/>
      <c r="AK27" s="1204"/>
      <c r="AL27" s="1207"/>
    </row>
    <row r="28" spans="1:38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1201"/>
      <c r="AH28" s="1171"/>
      <c r="AI28" s="1204"/>
      <c r="AJ28" s="1206"/>
      <c r="AK28" s="1204"/>
      <c r="AL28" s="1207"/>
    </row>
    <row r="29" spans="1:38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1171"/>
      <c r="AI29" s="1204"/>
      <c r="AJ29" s="1206"/>
      <c r="AK29" s="1204"/>
      <c r="AL29" s="1207"/>
    </row>
    <row r="30" spans="1:38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1171"/>
      <c r="AI30" s="1205"/>
      <c r="AJ30" s="1206"/>
      <c r="AK30" s="1204"/>
      <c r="AL30" s="1207"/>
    </row>
    <row r="31" spans="1:38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1171"/>
      <c r="AI31" s="1205"/>
      <c r="AJ31" s="1206"/>
      <c r="AK31" s="1204"/>
      <c r="AL31" s="1207"/>
    </row>
    <row r="32" spans="1:38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1171"/>
      <c r="AI32" s="1204"/>
      <c r="AJ32" s="1206"/>
      <c r="AK32" s="1204"/>
      <c r="AL32" s="1207"/>
    </row>
    <row r="33" spans="1:38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1171"/>
      <c r="AI33" s="1205"/>
      <c r="AJ33" s="1206"/>
      <c r="AK33" s="1204"/>
      <c r="AL33" s="1207"/>
    </row>
    <row r="34" spans="1:38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1171"/>
      <c r="AI34" s="1204"/>
      <c r="AJ34" s="1206"/>
      <c r="AK34" s="1204"/>
      <c r="AL34" s="1207"/>
    </row>
    <row r="35" spans="1:38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1171"/>
      <c r="AI35" s="1204"/>
      <c r="AJ35" s="1206"/>
      <c r="AK35" s="1204"/>
      <c r="AL35" s="1207"/>
    </row>
    <row r="36" spans="1:38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1171"/>
      <c r="AI36" s="1204"/>
      <c r="AJ36" s="1206"/>
      <c r="AK36" s="1204"/>
      <c r="AL36" s="1207"/>
    </row>
    <row r="37" spans="1:38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8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8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  <c r="AI39" s="1204"/>
      <c r="AJ39" s="1206"/>
      <c r="AK39" s="1204"/>
    </row>
    <row r="40" spans="1:38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8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8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8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8" x14ac:dyDescent="0.25">
      <c r="A44" s="872">
        <f>SUM(A3:A42)</f>
        <v>0</v>
      </c>
      <c r="B44" s="626"/>
      <c r="C44" s="949">
        <f>SUM(C3:C42)</f>
        <v>3499</v>
      </c>
      <c r="D44" s="950">
        <f>SUM(D3:D42)</f>
        <v>0</v>
      </c>
      <c r="E44" s="629">
        <v>0</v>
      </c>
      <c r="F44" s="956">
        <f>SUM(F3:F42)</f>
        <v>720.06</v>
      </c>
      <c r="G44" s="936">
        <f>SUM(G3:G42)</f>
        <v>0</v>
      </c>
      <c r="H44" s="957">
        <f>SUM(H3:H42)</f>
        <v>0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354.94000000000005</v>
      </c>
      <c r="P44" s="1078" t="s">
        <v>395</v>
      </c>
      <c r="Q44" s="1045">
        <f>SUM(Q3:Q38)</f>
        <v>980</v>
      </c>
      <c r="R44" s="1078" t="s">
        <v>103</v>
      </c>
      <c r="S44" s="1045">
        <f>SUM(S3:S42)</f>
        <v>150</v>
      </c>
      <c r="T44" s="1078" t="s">
        <v>103</v>
      </c>
      <c r="U44" s="1045">
        <f>SUM(U3:U42)</f>
        <v>0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0</v>
      </c>
      <c r="AF44" s="629"/>
      <c r="AG44" s="957">
        <f>SUM(AG3:AG42)</f>
        <v>2205</v>
      </c>
      <c r="AH44" s="614"/>
    </row>
    <row r="45" spans="1:38" ht="15.75" thickBot="1" x14ac:dyDescent="0.3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N3+N4+N5+N6+N7+N8+N9+N10</f>
        <v>0</v>
      </c>
      <c r="N45" s="1059"/>
      <c r="O45" s="1023">
        <v>100</v>
      </c>
      <c r="P45" s="935" t="s">
        <v>355</v>
      </c>
      <c r="Q45" s="1118">
        <v>100</v>
      </c>
      <c r="R45" s="935" t="str">
        <f>P45</f>
        <v xml:space="preserve">Květen </v>
      </c>
      <c r="S45" s="1023"/>
      <c r="T45" s="935" t="str">
        <f>P45</f>
        <v xml:space="preserve">Květen </v>
      </c>
      <c r="U45" s="1023">
        <v>0</v>
      </c>
      <c r="V45" s="935" t="str">
        <f>P45</f>
        <v xml:space="preserve">Květen </v>
      </c>
      <c r="W45" s="1024">
        <v>0</v>
      </c>
      <c r="X45" s="935" t="str">
        <f>P45</f>
        <v xml:space="preserve">Květen </v>
      </c>
      <c r="Y45" s="1024">
        <v>0</v>
      </c>
      <c r="Z45" s="935" t="str">
        <f>P45</f>
        <v xml:space="preserve">Květen </v>
      </c>
      <c r="AA45" s="1024">
        <v>0</v>
      </c>
      <c r="AB45" s="935" t="str">
        <f>P45</f>
        <v xml:space="preserve">Květen </v>
      </c>
      <c r="AC45" s="1024">
        <v>0</v>
      </c>
      <c r="AD45" s="935" t="str">
        <f>P45</f>
        <v xml:space="preserve">Květen </v>
      </c>
      <c r="AE45" s="951"/>
      <c r="AF45" s="635"/>
      <c r="AG45" s="935"/>
      <c r="AH45" s="614"/>
    </row>
    <row r="46" spans="1:38" ht="16.5" thickTop="1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>
        <f>O44-O45</f>
        <v>254.94000000000005</v>
      </c>
      <c r="P46" s="971" t="s">
        <v>505</v>
      </c>
      <c r="Q46" s="973">
        <v>750</v>
      </c>
      <c r="R46" s="971" t="str">
        <f>P46</f>
        <v>Červen</v>
      </c>
      <c r="S46" s="973">
        <f>S44-S45</f>
        <v>150</v>
      </c>
      <c r="T46" s="971" t="str">
        <f>P46</f>
        <v>Červen</v>
      </c>
      <c r="U46" s="973">
        <f>U44-U45</f>
        <v>0</v>
      </c>
      <c r="V46" s="971" t="str">
        <f>P46</f>
        <v>Červen</v>
      </c>
      <c r="W46" s="974">
        <f>W44-W45</f>
        <v>0</v>
      </c>
      <c r="X46" s="971" t="str">
        <f>P46</f>
        <v>Červen</v>
      </c>
      <c r="Y46" s="974">
        <f>Y44-Y45</f>
        <v>0</v>
      </c>
      <c r="Z46" s="971" t="str">
        <f>P46</f>
        <v>Červen</v>
      </c>
      <c r="AA46" s="974">
        <f>AA44-AA45</f>
        <v>0</v>
      </c>
      <c r="AB46" s="971" t="str">
        <f>P46</f>
        <v>Červen</v>
      </c>
      <c r="AC46" s="1022">
        <f>AC44-AC45</f>
        <v>0</v>
      </c>
      <c r="AD46" s="971" t="str">
        <f>P46</f>
        <v>Červen</v>
      </c>
      <c r="AE46" s="972"/>
      <c r="AF46" s="970"/>
      <c r="AG46" s="971"/>
      <c r="AH46" s="614"/>
    </row>
    <row r="47" spans="1:38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826"/>
      <c r="P47" s="610"/>
      <c r="Q47" s="1217">
        <f>Q44-Q45-Q46</f>
        <v>130</v>
      </c>
      <c r="R47" s="1031" t="s">
        <v>416</v>
      </c>
      <c r="S47" s="1032">
        <v>150</v>
      </c>
      <c r="T47" s="610" t="s">
        <v>416</v>
      </c>
      <c r="U47" s="1212"/>
      <c r="V47" s="3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8" x14ac:dyDescent="0.25">
      <c r="Q48" s="1033"/>
      <c r="R48" s="1034"/>
      <c r="S48" s="1035"/>
      <c r="U48" s="1213"/>
      <c r="V48" s="610"/>
      <c r="X48" s="610"/>
      <c r="Y48" s="1076">
        <v>0</v>
      </c>
      <c r="Z48" s="935" t="str">
        <f>P45</f>
        <v xml:space="preserve">Květen </v>
      </c>
      <c r="AA48" s="1024">
        <v>0</v>
      </c>
      <c r="AB48" s="935" t="str">
        <f>P45</f>
        <v xml:space="preserve">Květen </v>
      </c>
      <c r="AC48" s="1024">
        <v>0</v>
      </c>
      <c r="AD48" s="935" t="str">
        <f>P45</f>
        <v xml:space="preserve">Květen 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>Červen</v>
      </c>
      <c r="AA49" s="974">
        <f>AA47-AA48</f>
        <v>0</v>
      </c>
      <c r="AB49" s="971" t="str">
        <f>P46</f>
        <v>Červen</v>
      </c>
      <c r="AC49" s="974">
        <f>AC47-AC48</f>
        <v>0</v>
      </c>
      <c r="AD49" s="971" t="str">
        <f>P46</f>
        <v>Červen</v>
      </c>
    </row>
    <row r="50" spans="17:31" ht="15.75" thickTop="1" x14ac:dyDescent="0.25">
      <c r="R50" s="1215"/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929"/>
      <c r="S51" s="1035"/>
      <c r="X51" s="610"/>
      <c r="Y51" s="1076">
        <v>0</v>
      </c>
      <c r="Z51" s="935" t="str">
        <f>P45</f>
        <v xml:space="preserve">Květen </v>
      </c>
      <c r="AA51" s="1024">
        <v>0</v>
      </c>
      <c r="AB51" s="935" t="str">
        <f>P45</f>
        <v xml:space="preserve">Květen </v>
      </c>
      <c r="AC51" s="1024">
        <v>0</v>
      </c>
      <c r="AD51" s="935" t="str">
        <f>P45</f>
        <v xml:space="preserve">Květen </v>
      </c>
    </row>
    <row r="52" spans="17:31" ht="15.75" thickBot="1" x14ac:dyDescent="0.3">
      <c r="Q52" s="929"/>
      <c r="S52" s="1035"/>
      <c r="X52" s="610"/>
      <c r="Y52" s="1077">
        <f>Y50-Y51</f>
        <v>0</v>
      </c>
      <c r="Z52" s="971" t="str">
        <f>P46</f>
        <v>Červen</v>
      </c>
      <c r="AA52" s="974">
        <f>AA50-AA51</f>
        <v>0</v>
      </c>
      <c r="AB52" s="971" t="str">
        <f>P46</f>
        <v>Červen</v>
      </c>
      <c r="AC52" s="974">
        <f>AC50-AC51</f>
        <v>0</v>
      </c>
      <c r="AD52" s="971" t="str">
        <f>P46</f>
        <v>Červen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43:C43"/>
    <mergeCell ref="G43:H43"/>
    <mergeCell ref="I43:K43"/>
    <mergeCell ref="L43:N43"/>
    <mergeCell ref="O43:P43"/>
    <mergeCell ref="Q43:R43"/>
    <mergeCell ref="AE1:AG1"/>
    <mergeCell ref="AH1:AI1"/>
    <mergeCell ref="AJ1:AK1"/>
    <mergeCell ref="AH4:AI4"/>
    <mergeCell ref="AJ4:AK4"/>
    <mergeCell ref="AH9:AI9"/>
    <mergeCell ref="Q1:AD1"/>
    <mergeCell ref="AE43:AG43"/>
    <mergeCell ref="S43:T43"/>
    <mergeCell ref="U43:V43"/>
    <mergeCell ref="W43:X43"/>
    <mergeCell ref="Y43:Z43"/>
    <mergeCell ref="AA43:AB43"/>
    <mergeCell ref="AC43:AD43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pageSetup scale="0" firstPageNumber="0" fitToWidth="0" fitToHeight="0" orientation="portrait" horizontalDpi="0" verticalDpi="0" copies="0"/>
  <tableParts count="1">
    <tablePart r:id="rId1"/>
  </tableParts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E7855B-1C19-AC49-80FA-2778984B4213}">
  <dimension ref="A1:AP61"/>
  <sheetViews>
    <sheetView topLeftCell="P1" zoomScaleNormal="60" zoomScaleSheetLayoutView="100" workbookViewId="0">
      <selection activeCell="E16" sqref="E16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7109375" bestFit="1" customWidth="1"/>
    <col min="4" max="4" width="10.5703125" bestFit="1" customWidth="1"/>
    <col min="5" max="5" width="9" bestFit="1" customWidth="1"/>
    <col min="6" max="6" width="10.5703125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11.28515625" customWidth="1"/>
    <col min="17" max="17" width="15.285156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4" customWidth="1"/>
    <col min="37" max="37" width="13.140625" customWidth="1"/>
    <col min="38" max="38" width="14.28515625" customWidth="1"/>
    <col min="41" max="41" width="11.42578125" bestFit="1" customWidth="1"/>
    <col min="42" max="42" width="12.7109375" bestFit="1" customWidth="1"/>
  </cols>
  <sheetData>
    <row r="1" spans="1:42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705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  <c r="AO1" s="1211"/>
      <c r="AP1" s="879"/>
    </row>
    <row r="2" spans="1:42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724</v>
      </c>
      <c r="R2" s="966" t="s">
        <v>441</v>
      </c>
      <c r="S2" s="967" t="s">
        <v>470</v>
      </c>
      <c r="T2" s="966" t="s">
        <v>442</v>
      </c>
      <c r="U2" s="964" t="s">
        <v>471</v>
      </c>
      <c r="V2" s="966" t="s">
        <v>443</v>
      </c>
      <c r="W2" s="964" t="s">
        <v>461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  <c r="AO2" s="1211"/>
      <c r="AP2" s="879"/>
    </row>
    <row r="3" spans="1:42" ht="16.5" thickTop="1" thickBot="1" x14ac:dyDescent="0.3">
      <c r="A3" s="695"/>
      <c r="B3" s="979">
        <v>45368</v>
      </c>
      <c r="C3" s="945">
        <v>2000</v>
      </c>
      <c r="D3" s="619"/>
      <c r="E3" s="979"/>
      <c r="F3" s="952"/>
      <c r="G3" s="975"/>
      <c r="H3" s="952"/>
      <c r="I3" s="619"/>
      <c r="J3" s="978"/>
      <c r="K3" s="952"/>
      <c r="L3" s="959"/>
      <c r="M3" s="981"/>
      <c r="N3" s="952"/>
      <c r="O3" s="984">
        <f>AG44-AK6</f>
        <v>884.94</v>
      </c>
      <c r="P3" s="1218">
        <f>AE44-AJ6</f>
        <v>-3499</v>
      </c>
      <c r="Q3" s="984">
        <v>200</v>
      </c>
      <c r="R3" s="937"/>
      <c r="S3" s="984"/>
      <c r="T3" s="937"/>
      <c r="U3" s="984"/>
      <c r="V3" s="937"/>
      <c r="W3" s="989"/>
      <c r="X3" s="937"/>
      <c r="Y3" s="989"/>
      <c r="Z3" s="937"/>
      <c r="AA3" s="984"/>
      <c r="AB3" s="937"/>
      <c r="AC3" s="990"/>
      <c r="AD3" s="937"/>
      <c r="AE3" s="993"/>
      <c r="AF3" s="997" t="s">
        <v>119</v>
      </c>
      <c r="AG3" s="963">
        <f>'01cash24'!AI3</f>
        <v>65</v>
      </c>
      <c r="AH3" s="299">
        <v>0</v>
      </c>
      <c r="AI3" s="300">
        <v>0</v>
      </c>
      <c r="AJ3" s="301">
        <f>AH6+AJ6</f>
        <v>3499</v>
      </c>
      <c r="AK3" s="302">
        <f>AK6+AI6</f>
        <v>1320.06</v>
      </c>
      <c r="AO3" s="1211"/>
      <c r="AP3" s="879"/>
    </row>
    <row r="4" spans="1:42" ht="19.5" thickBot="1" x14ac:dyDescent="0.3">
      <c r="A4" s="856"/>
      <c r="B4" s="979"/>
      <c r="C4" s="946"/>
      <c r="D4" s="618"/>
      <c r="E4" s="979">
        <v>45369</v>
      </c>
      <c r="F4" s="953">
        <v>60.04</v>
      </c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>
        <v>200</v>
      </c>
      <c r="R4" s="938"/>
      <c r="S4" s="986"/>
      <c r="T4" s="938"/>
      <c r="U4" s="986"/>
      <c r="V4" s="938"/>
      <c r="W4" s="990"/>
      <c r="X4" s="938"/>
      <c r="Y4" s="990"/>
      <c r="Z4" s="938"/>
      <c r="AA4" s="986"/>
      <c r="AB4" s="938"/>
      <c r="AC4" s="1051"/>
      <c r="AD4" s="938"/>
      <c r="AE4" s="994"/>
      <c r="AF4" s="997">
        <v>45369</v>
      </c>
      <c r="AG4" s="963">
        <v>50</v>
      </c>
      <c r="AH4" s="1282" t="s">
        <v>63</v>
      </c>
      <c r="AI4" s="1245"/>
      <c r="AJ4" s="1246" t="s">
        <v>64</v>
      </c>
      <c r="AK4" s="1237"/>
      <c r="AO4" s="1211"/>
      <c r="AP4" s="879"/>
    </row>
    <row r="5" spans="1:42" ht="15.75" x14ac:dyDescent="0.25">
      <c r="A5" s="856"/>
      <c r="B5" s="979"/>
      <c r="C5" s="946"/>
      <c r="D5" s="618"/>
      <c r="E5" s="979">
        <v>45371</v>
      </c>
      <c r="F5" s="953">
        <v>150</v>
      </c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1070">
        <v>200</v>
      </c>
      <c r="R5" s="1068"/>
      <c r="S5" s="986"/>
      <c r="T5" s="938"/>
      <c r="U5" s="986"/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>
        <v>45371</v>
      </c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  <c r="AO5" s="1211"/>
      <c r="AP5" s="879"/>
    </row>
    <row r="6" spans="1:42" ht="15.75" thickBot="1" x14ac:dyDescent="0.3">
      <c r="A6" s="856"/>
      <c r="B6" s="979"/>
      <c r="C6" s="946"/>
      <c r="D6" s="618"/>
      <c r="E6" s="979">
        <v>45381</v>
      </c>
      <c r="F6" s="953">
        <v>130</v>
      </c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/>
      <c r="R6" s="1068"/>
      <c r="S6" s="986"/>
      <c r="T6" s="938"/>
      <c r="U6" s="986"/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>
        <v>45376</v>
      </c>
      <c r="AG6" s="963">
        <v>500</v>
      </c>
      <c r="AH6" s="612">
        <f>A44+L44</f>
        <v>0</v>
      </c>
      <c r="AI6" s="317">
        <f>D44+H44+K44+N45</f>
        <v>0</v>
      </c>
      <c r="AJ6" s="128">
        <f>L45+C44+U48+Q47</f>
        <v>3499</v>
      </c>
      <c r="AK6" s="129">
        <f>F44+G44+I44+M45+Q44+S44+W44+Y44+AA44+AC44+Y47+Y50+AA47+AA50+AC47+AC50+U44</f>
        <v>1320.06</v>
      </c>
      <c r="AO6" s="1211"/>
      <c r="AP6" s="879"/>
    </row>
    <row r="7" spans="1:42" ht="19.5" thickBot="1" x14ac:dyDescent="0.3">
      <c r="A7" s="856"/>
      <c r="B7" s="979"/>
      <c r="C7" s="946"/>
      <c r="D7" s="618"/>
      <c r="E7" s="979">
        <v>45391</v>
      </c>
      <c r="F7" s="953">
        <v>160.01</v>
      </c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70"/>
      <c r="R7" s="1068"/>
      <c r="S7" s="986"/>
      <c r="T7" s="938"/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>
        <v>45391</v>
      </c>
      <c r="AG7" s="963">
        <v>600</v>
      </c>
      <c r="AH7" s="613" t="s">
        <v>66</v>
      </c>
      <c r="AI7" s="321" t="s">
        <v>67</v>
      </c>
      <c r="AO7" s="1211"/>
      <c r="AP7" s="879"/>
    </row>
    <row r="8" spans="1:42" x14ac:dyDescent="0.25">
      <c r="A8" s="856"/>
      <c r="B8" s="979"/>
      <c r="C8" s="946"/>
      <c r="D8" s="618"/>
      <c r="E8" s="979">
        <v>45404</v>
      </c>
      <c r="F8" s="953">
        <v>150</v>
      </c>
      <c r="G8" s="976"/>
      <c r="H8" s="953"/>
      <c r="I8" s="618"/>
      <c r="J8" s="979"/>
      <c r="K8" s="953"/>
      <c r="L8" s="960"/>
      <c r="M8" s="982"/>
      <c r="N8" s="953"/>
      <c r="O8" s="976"/>
      <c r="P8" s="946"/>
      <c r="Q8" s="1070"/>
      <c r="R8" s="1068"/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>
        <v>45401</v>
      </c>
      <c r="AG8" s="1151">
        <v>340</v>
      </c>
      <c r="AH8" s="326">
        <v>0</v>
      </c>
      <c r="AI8" s="327">
        <f>E44</f>
        <v>0</v>
      </c>
      <c r="AO8" s="1211"/>
      <c r="AP8" s="879"/>
    </row>
    <row r="9" spans="1:42" ht="15.75" thickBot="1" x14ac:dyDescent="0.3">
      <c r="A9" s="856"/>
      <c r="B9" s="979"/>
      <c r="C9" s="946"/>
      <c r="D9" s="618"/>
      <c r="E9" s="979">
        <v>45409</v>
      </c>
      <c r="F9" s="953">
        <v>70.010000000000005</v>
      </c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/>
      <c r="R9" s="938"/>
      <c r="S9" s="976"/>
      <c r="T9" s="938"/>
      <c r="U9" s="1070"/>
      <c r="V9" s="1068"/>
      <c r="W9" s="990"/>
      <c r="X9" s="938"/>
      <c r="Y9" s="990"/>
      <c r="Z9" s="938"/>
      <c r="AA9" s="986"/>
      <c r="AB9" s="938"/>
      <c r="AC9" s="990"/>
      <c r="AD9" s="938"/>
      <c r="AE9" s="1143"/>
      <c r="AF9" s="997">
        <v>45408</v>
      </c>
      <c r="AG9" s="1151">
        <v>150</v>
      </c>
      <c r="AH9" s="1244">
        <f>AH8-AI8</f>
        <v>0</v>
      </c>
      <c r="AI9" s="1222"/>
      <c r="AO9" s="1210"/>
      <c r="AP9" s="879"/>
    </row>
    <row r="10" spans="1:42" x14ac:dyDescent="0.25">
      <c r="A10" s="1155"/>
      <c r="B10" s="979">
        <v>45409</v>
      </c>
      <c r="C10" s="1060">
        <v>1000</v>
      </c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/>
      <c r="R10" s="1068"/>
      <c r="S10" s="1069"/>
      <c r="T10" s="1068"/>
      <c r="U10" s="1070"/>
      <c r="V10" s="1068"/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/>
      <c r="AG10" s="1151"/>
      <c r="AH10" s="610"/>
      <c r="AI10" s="1052"/>
    </row>
    <row r="11" spans="1:42" x14ac:dyDescent="0.25">
      <c r="A11" s="1155"/>
      <c r="B11" s="979">
        <v>45412</v>
      </c>
      <c r="C11" s="1060">
        <v>499</v>
      </c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/>
      <c r="R11" s="1068"/>
      <c r="S11" s="1069"/>
      <c r="T11" s="1068"/>
      <c r="U11" s="1070"/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/>
      <c r="AG11" s="963"/>
      <c r="AH11" s="610"/>
      <c r="AI11" s="1052"/>
    </row>
    <row r="12" spans="1:42" x14ac:dyDescent="0.25">
      <c r="A12" s="1155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/>
      <c r="R12" s="1068"/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073"/>
      <c r="AG12" s="1216"/>
      <c r="AH12" s="1171"/>
      <c r="AI12" s="1203"/>
      <c r="AJ12" s="1206"/>
      <c r="AK12" s="1204"/>
      <c r="AL12" s="1207"/>
    </row>
    <row r="13" spans="1:42" x14ac:dyDescent="0.25">
      <c r="A13" s="1155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/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1201"/>
      <c r="AH13" s="1171"/>
      <c r="AI13" s="1203"/>
      <c r="AJ13" s="1206"/>
      <c r="AK13" s="1204"/>
      <c r="AL13" s="1207"/>
    </row>
    <row r="14" spans="1:42" x14ac:dyDescent="0.25">
      <c r="A14" s="856"/>
      <c r="B14" s="979"/>
      <c r="C14" s="946"/>
      <c r="D14" s="663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1070"/>
      <c r="V14" s="1068"/>
      <c r="W14" s="990"/>
      <c r="X14" s="938"/>
      <c r="Y14" s="990"/>
      <c r="Z14" s="938"/>
      <c r="AA14" s="976"/>
      <c r="AB14" s="938"/>
      <c r="AC14" s="991"/>
      <c r="AD14" s="938"/>
      <c r="AE14" s="994"/>
      <c r="AF14" s="1073"/>
      <c r="AG14" s="1073"/>
      <c r="AH14" s="1171"/>
      <c r="AI14" s="1203"/>
      <c r="AJ14" s="1206"/>
      <c r="AK14" s="1204"/>
      <c r="AL14" s="1207"/>
    </row>
    <row r="15" spans="1:42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1070"/>
      <c r="V15" s="106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1201"/>
      <c r="AH15" s="1171"/>
      <c r="AI15" s="1204"/>
      <c r="AJ15" s="1206"/>
      <c r="AK15" s="1204"/>
      <c r="AL15" s="1207"/>
    </row>
    <row r="16" spans="1:42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1070"/>
      <c r="V16" s="106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1201"/>
      <c r="AH16" s="1171"/>
      <c r="AI16" s="1204"/>
      <c r="AJ16" s="1206"/>
      <c r="AK16" s="1204"/>
      <c r="AL16" s="1207"/>
    </row>
    <row r="17" spans="1:38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1201"/>
      <c r="AH17" s="1171"/>
      <c r="AI17" s="1204"/>
      <c r="AJ17" s="1206"/>
      <c r="AK17" s="1204"/>
      <c r="AL17" s="1207"/>
    </row>
    <row r="18" spans="1:38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1201"/>
      <c r="AH18" s="1171"/>
      <c r="AI18" s="1204"/>
      <c r="AJ18" s="1206"/>
      <c r="AK18" s="1204"/>
      <c r="AL18" s="1207"/>
    </row>
    <row r="19" spans="1:38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1201"/>
      <c r="AH19" s="1171"/>
      <c r="AI19" s="1204"/>
      <c r="AJ19" s="1206"/>
      <c r="AK19" s="1204"/>
      <c r="AL19" s="1207"/>
    </row>
    <row r="20" spans="1:38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1070"/>
      <c r="V20" s="1068"/>
      <c r="W20" s="990"/>
      <c r="X20" s="938"/>
      <c r="Y20" s="990"/>
      <c r="Z20" s="938"/>
      <c r="AA20" s="986"/>
      <c r="AB20" s="938"/>
      <c r="AC20" s="991"/>
      <c r="AD20" s="938"/>
      <c r="AE20" s="994"/>
      <c r="AF20" s="1073"/>
      <c r="AG20" s="1201"/>
      <c r="AH20" s="1171"/>
      <c r="AI20" s="1204"/>
      <c r="AJ20" s="1206"/>
      <c r="AK20" s="1204"/>
      <c r="AL20" s="1207"/>
    </row>
    <row r="21" spans="1:38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1070"/>
      <c r="V21" s="106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1201"/>
      <c r="AH21" s="1171"/>
      <c r="AI21" s="1204"/>
      <c r="AJ21" s="1206"/>
      <c r="AK21" s="1204"/>
      <c r="AL21" s="1207"/>
    </row>
    <row r="22" spans="1:38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1201"/>
      <c r="AH22" s="1171"/>
      <c r="AI22" s="1204"/>
      <c r="AJ22" s="1206"/>
      <c r="AK22" s="1204"/>
      <c r="AL22" s="1207"/>
    </row>
    <row r="23" spans="1:38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1201"/>
      <c r="AH23" s="1171"/>
      <c r="AI23" s="1204"/>
      <c r="AJ23" s="1206"/>
      <c r="AK23" s="1204"/>
      <c r="AL23" s="1207"/>
    </row>
    <row r="24" spans="1:38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1201"/>
      <c r="AH24" s="1171"/>
      <c r="AI24" s="1204"/>
      <c r="AJ24" s="1206"/>
      <c r="AK24" s="1204"/>
      <c r="AL24" s="1207"/>
    </row>
    <row r="25" spans="1:38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1201"/>
      <c r="AH25" s="1171"/>
      <c r="AI25" s="1204"/>
      <c r="AJ25" s="1206"/>
      <c r="AK25" s="1204"/>
      <c r="AL25" s="1207"/>
    </row>
    <row r="26" spans="1:38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1201"/>
      <c r="AH26" s="1171"/>
      <c r="AI26" s="1204"/>
      <c r="AJ26" s="1206"/>
      <c r="AK26" s="1204"/>
      <c r="AL26" s="1207"/>
    </row>
    <row r="27" spans="1:38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1201"/>
      <c r="AH27" s="1171"/>
      <c r="AI27" s="1204"/>
      <c r="AJ27" s="1206"/>
      <c r="AK27" s="1204"/>
      <c r="AL27" s="1207"/>
    </row>
    <row r="28" spans="1:38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1201"/>
      <c r="AH28" s="1171"/>
      <c r="AI28" s="1204"/>
      <c r="AJ28" s="1206"/>
      <c r="AK28" s="1204"/>
      <c r="AL28" s="1207"/>
    </row>
    <row r="29" spans="1:38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1171"/>
      <c r="AI29" s="1204"/>
      <c r="AJ29" s="1206"/>
      <c r="AK29" s="1204"/>
      <c r="AL29" s="1207"/>
    </row>
    <row r="30" spans="1:38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1171"/>
      <c r="AI30" s="1205"/>
      <c r="AJ30" s="1206"/>
      <c r="AK30" s="1204"/>
      <c r="AL30" s="1207"/>
    </row>
    <row r="31" spans="1:38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1171"/>
      <c r="AI31" s="1205"/>
      <c r="AJ31" s="1206"/>
      <c r="AK31" s="1204"/>
      <c r="AL31" s="1207"/>
    </row>
    <row r="32" spans="1:38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1171"/>
      <c r="AI32" s="1204"/>
      <c r="AJ32" s="1206"/>
      <c r="AK32" s="1204"/>
      <c r="AL32" s="1207"/>
    </row>
    <row r="33" spans="1:38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1171"/>
      <c r="AI33" s="1205"/>
      <c r="AJ33" s="1206"/>
      <c r="AK33" s="1204"/>
      <c r="AL33" s="1207"/>
    </row>
    <row r="34" spans="1:38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1171"/>
      <c r="AI34" s="1204"/>
      <c r="AJ34" s="1206"/>
      <c r="AK34" s="1204"/>
      <c r="AL34" s="1207"/>
    </row>
    <row r="35" spans="1:38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1171"/>
      <c r="AI35" s="1204"/>
      <c r="AJ35" s="1206"/>
      <c r="AK35" s="1204"/>
      <c r="AL35" s="1207"/>
    </row>
    <row r="36" spans="1:38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1171"/>
      <c r="AI36" s="1204"/>
      <c r="AJ36" s="1206"/>
      <c r="AK36" s="1204"/>
      <c r="AL36" s="1207"/>
    </row>
    <row r="37" spans="1:38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8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8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  <c r="AI39" s="1204"/>
      <c r="AJ39" s="1206"/>
      <c r="AK39" s="1204"/>
    </row>
    <row r="40" spans="1:38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8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8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8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8" x14ac:dyDescent="0.25">
      <c r="A44" s="872">
        <f>SUM(A3:A42)</f>
        <v>0</v>
      </c>
      <c r="B44" s="626"/>
      <c r="C44" s="949">
        <f>SUM(C3:C42)</f>
        <v>3499</v>
      </c>
      <c r="D44" s="950">
        <f>SUM(D3:D42)</f>
        <v>0</v>
      </c>
      <c r="E44" s="629">
        <v>0</v>
      </c>
      <c r="F44" s="956">
        <f>SUM(F3:F42)</f>
        <v>720.06</v>
      </c>
      <c r="G44" s="936">
        <f>SUM(G3:G42)</f>
        <v>0</v>
      </c>
      <c r="H44" s="957">
        <f>SUM(H3:H42)</f>
        <v>0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884.94</v>
      </c>
      <c r="P44" s="1078" t="s">
        <v>395</v>
      </c>
      <c r="Q44" s="1045">
        <f>SUM(Q3:Q38)</f>
        <v>600</v>
      </c>
      <c r="R44" s="1078" t="s">
        <v>103</v>
      </c>
      <c r="S44" s="1045">
        <f>SUM(S3:S42)</f>
        <v>0</v>
      </c>
      <c r="T44" s="1078" t="s">
        <v>103</v>
      </c>
      <c r="U44" s="1045">
        <f>SUM(U3:U42)</f>
        <v>0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0</v>
      </c>
      <c r="AF44" s="629"/>
      <c r="AG44" s="957">
        <f>SUM(AG3:AG42)</f>
        <v>2205</v>
      </c>
      <c r="AH44" s="614"/>
    </row>
    <row r="45" spans="1:38" ht="15.75" thickBot="1" x14ac:dyDescent="0.3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N3+N4+N5+N6+N7+N8+N9+N10</f>
        <v>0</v>
      </c>
      <c r="N45" s="1059"/>
      <c r="O45" s="1023">
        <v>100</v>
      </c>
      <c r="P45" s="935" t="s">
        <v>478</v>
      </c>
      <c r="Q45" s="1118">
        <v>200</v>
      </c>
      <c r="R45" s="935" t="str">
        <f>P45</f>
        <v>Březen</v>
      </c>
      <c r="S45" s="1023"/>
      <c r="T45" s="935" t="str">
        <f>P45</f>
        <v>Březen</v>
      </c>
      <c r="U45" s="1023">
        <v>0</v>
      </c>
      <c r="V45" s="935" t="str">
        <f>P45</f>
        <v>Březen</v>
      </c>
      <c r="W45" s="1024">
        <v>0</v>
      </c>
      <c r="X45" s="935" t="str">
        <f>P45</f>
        <v>Březen</v>
      </c>
      <c r="Y45" s="1024">
        <v>0</v>
      </c>
      <c r="Z45" s="935" t="str">
        <f>P45</f>
        <v>Březen</v>
      </c>
      <c r="AA45" s="1024">
        <v>0</v>
      </c>
      <c r="AB45" s="935" t="str">
        <f>P45</f>
        <v>Březen</v>
      </c>
      <c r="AC45" s="1024">
        <v>0</v>
      </c>
      <c r="AD45" s="935" t="str">
        <f>P45</f>
        <v>Březen</v>
      </c>
      <c r="AE45" s="951"/>
      <c r="AF45" s="635"/>
      <c r="AG45" s="935"/>
      <c r="AH45" s="614"/>
    </row>
    <row r="46" spans="1:38" ht="16.5" thickTop="1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>
        <f>O44-O45</f>
        <v>784.94</v>
      </c>
      <c r="P46" s="971" t="s">
        <v>492</v>
      </c>
      <c r="Q46" s="973">
        <f>Q44-Q45</f>
        <v>400</v>
      </c>
      <c r="R46" s="971" t="str">
        <f>P46</f>
        <v>Duben</v>
      </c>
      <c r="S46" s="973">
        <f>S44-S45</f>
        <v>0</v>
      </c>
      <c r="T46" s="971" t="str">
        <f>P46</f>
        <v>Duben</v>
      </c>
      <c r="U46" s="973">
        <f>U44-U45</f>
        <v>0</v>
      </c>
      <c r="V46" s="971" t="str">
        <f>P46</f>
        <v>Duben</v>
      </c>
      <c r="W46" s="974">
        <f>W44-W45</f>
        <v>0</v>
      </c>
      <c r="X46" s="971" t="str">
        <f>P46</f>
        <v>Duben</v>
      </c>
      <c r="Y46" s="974">
        <f>Y44-Y45</f>
        <v>0</v>
      </c>
      <c r="Z46" s="971" t="str">
        <f>P46</f>
        <v>Duben</v>
      </c>
      <c r="AA46" s="974">
        <f>AA44-AA45</f>
        <v>0</v>
      </c>
      <c r="AB46" s="971" t="str">
        <f>P46</f>
        <v>Duben</v>
      </c>
      <c r="AC46" s="1022">
        <f>AC44-AC45</f>
        <v>0</v>
      </c>
      <c r="AD46" s="971" t="str">
        <f>P46</f>
        <v>Duben</v>
      </c>
      <c r="AE46" s="972"/>
      <c r="AF46" s="970"/>
      <c r="AG46" s="971"/>
      <c r="AH46" s="614"/>
    </row>
    <row r="47" spans="1:38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826"/>
      <c r="P47" s="610"/>
      <c r="Q47" s="1217"/>
      <c r="R47" s="1031"/>
      <c r="S47" s="1032"/>
      <c r="T47" s="610"/>
      <c r="U47" s="1212"/>
      <c r="V47" s="3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8" x14ac:dyDescent="0.25">
      <c r="Q48" s="1033"/>
      <c r="R48" s="1034"/>
      <c r="S48" s="1035"/>
      <c r="U48" s="1213"/>
      <c r="V48" s="610"/>
      <c r="X48" s="610"/>
      <c r="Y48" s="1076">
        <v>0</v>
      </c>
      <c r="Z48" s="935" t="str">
        <f>P45</f>
        <v>Březen</v>
      </c>
      <c r="AA48" s="1024">
        <v>0</v>
      </c>
      <c r="AB48" s="935" t="str">
        <f>P45</f>
        <v>Březen</v>
      </c>
      <c r="AC48" s="1024">
        <v>0</v>
      </c>
      <c r="AD48" s="935" t="str">
        <f>P45</f>
        <v>Březen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>Duben</v>
      </c>
      <c r="AA49" s="974">
        <f>AA47-AA48</f>
        <v>0</v>
      </c>
      <c r="AB49" s="971" t="str">
        <f>P46</f>
        <v>Duben</v>
      </c>
      <c r="AC49" s="974">
        <f>AC47-AC48</f>
        <v>0</v>
      </c>
      <c r="AD49" s="971" t="str">
        <f>P46</f>
        <v>Duben</v>
      </c>
    </row>
    <row r="50" spans="17:31" ht="15.75" thickTop="1" x14ac:dyDescent="0.25">
      <c r="R50" s="1215"/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929"/>
      <c r="S51" s="1035"/>
      <c r="X51" s="610"/>
      <c r="Y51" s="1076">
        <v>0</v>
      </c>
      <c r="Z51" s="935" t="str">
        <f>P45</f>
        <v>Březen</v>
      </c>
      <c r="AA51" s="1024">
        <v>0</v>
      </c>
      <c r="AB51" s="935" t="str">
        <f>P45</f>
        <v>Březen</v>
      </c>
      <c r="AC51" s="1024">
        <v>0</v>
      </c>
      <c r="AD51" s="935" t="str">
        <f>P45</f>
        <v>Březen</v>
      </c>
    </row>
    <row r="52" spans="17:31" ht="15.75" thickBot="1" x14ac:dyDescent="0.3">
      <c r="Q52" s="929"/>
      <c r="S52" s="1035"/>
      <c r="X52" s="610"/>
      <c r="Y52" s="1077">
        <f>Y50-Y51</f>
        <v>0</v>
      </c>
      <c r="Z52" s="971" t="str">
        <f>P46</f>
        <v>Duben</v>
      </c>
      <c r="AA52" s="974">
        <f>AA50-AA51</f>
        <v>0</v>
      </c>
      <c r="AB52" s="971" t="str">
        <f>P46</f>
        <v>Duben</v>
      </c>
      <c r="AC52" s="974">
        <f>AC50-AC51</f>
        <v>0</v>
      </c>
      <c r="AD52" s="971" t="str">
        <f>P46</f>
        <v>Duben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1:F1"/>
    <mergeCell ref="G1:H1"/>
    <mergeCell ref="I1:K1"/>
    <mergeCell ref="L1:N1"/>
    <mergeCell ref="O1:P1"/>
    <mergeCell ref="Q43:R43"/>
    <mergeCell ref="AE1:AG1"/>
    <mergeCell ref="AH1:AI1"/>
    <mergeCell ref="AJ1:AK1"/>
    <mergeCell ref="AH4:AI4"/>
    <mergeCell ref="AJ4:AK4"/>
    <mergeCell ref="AH9:AI9"/>
    <mergeCell ref="Q1:AD1"/>
    <mergeCell ref="AE43:AG43"/>
    <mergeCell ref="S43:T43"/>
    <mergeCell ref="U43:V43"/>
    <mergeCell ref="W43:X43"/>
    <mergeCell ref="Y43:Z43"/>
    <mergeCell ref="AA43:AB43"/>
    <mergeCell ref="AC43:AD43"/>
    <mergeCell ref="A43:C43"/>
    <mergeCell ref="G43:H43"/>
    <mergeCell ref="I43:K43"/>
    <mergeCell ref="L43:N43"/>
    <mergeCell ref="O43:P43"/>
  </mergeCells>
  <phoneticPr fontId="30" alignment="center"/>
  <pageMargins left="0.7" right="0.7" top="0.75" bottom="0.75" header="0.3" footer="0.3"/>
  <pageSetup scale="0" firstPageNumber="0" fitToWidth="0" fitToHeight="0" orientation="portrait" horizontalDpi="0" verticalDpi="0" copies="0"/>
  <tableParts count="1">
    <tablePart r:id="rId1"/>
  </tableParts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63A92-CDF8-4455-A33A-DDB970E74C42}">
  <dimension ref="A2:V52"/>
  <sheetViews>
    <sheetView tabSelected="1" zoomScaleNormal="60" zoomScaleSheetLayoutView="100" workbookViewId="0">
      <selection activeCell="O13" sqref="O13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2" spans="1:22" ht="15.75" thickBot="1" x14ac:dyDescent="0.3">
      <c r="A2" s="650" t="s">
        <v>0</v>
      </c>
      <c r="B2" s="650" t="s">
        <v>1</v>
      </c>
      <c r="C2" s="650" t="s">
        <v>127</v>
      </c>
      <c r="D2" s="650" t="s">
        <v>128</v>
      </c>
      <c r="E2" s="650" t="s">
        <v>286</v>
      </c>
      <c r="F2" s="650" t="s">
        <v>317</v>
      </c>
      <c r="G2" s="650" t="s">
        <v>285</v>
      </c>
      <c r="H2" s="650" t="s">
        <v>4</v>
      </c>
      <c r="I2" s="650" t="s">
        <v>5</v>
      </c>
      <c r="J2" s="650" t="s">
        <v>6</v>
      </c>
      <c r="K2" s="650" t="s">
        <v>7</v>
      </c>
      <c r="L2" s="650" t="s">
        <v>265</v>
      </c>
      <c r="M2" s="650" t="s">
        <v>8</v>
      </c>
      <c r="N2" s="650" t="s">
        <v>129</v>
      </c>
      <c r="O2" s="650" t="s">
        <v>9</v>
      </c>
      <c r="P2" s="650" t="s">
        <v>155</v>
      </c>
      <c r="Q2" s="650" t="s">
        <v>10</v>
      </c>
      <c r="R2" s="650" t="s">
        <v>11</v>
      </c>
      <c r="S2" s="650" t="s">
        <v>12</v>
      </c>
      <c r="T2" s="650" t="s">
        <v>13</v>
      </c>
      <c r="U2" s="650" t="s">
        <v>14</v>
      </c>
    </row>
    <row r="3" spans="1:22" ht="15.75" thickBot="1" x14ac:dyDescent="0.3">
      <c r="A3" s="1080"/>
      <c r="B3" s="656" t="str">
        <f t="shared" ref="B3:B36" si="0">CHOOSE(WEEKDAY(V3),"Po","Út","St","Čt","Pá","So","Ne")</f>
        <v>So</v>
      </c>
      <c r="C3" s="724">
        <f t="shared" ref="C3:C36" si="1">G3-E3-F3</f>
        <v>0</v>
      </c>
      <c r="D3" s="1079">
        <f t="shared" ref="D3:D36" si="2">(N3*C3)*24</f>
        <v>0</v>
      </c>
      <c r="E3" s="724"/>
      <c r="F3" s="724"/>
      <c r="G3" s="724"/>
      <c r="H3" s="654"/>
      <c r="I3" s="657"/>
      <c r="J3" s="654"/>
      <c r="K3" s="656"/>
      <c r="L3" s="654"/>
      <c r="M3" s="657"/>
      <c r="N3" s="713"/>
      <c r="O3" s="1081">
        <f>(O5+O7)</f>
        <v>0</v>
      </c>
      <c r="P3" s="656">
        <f>P5+P7</f>
        <v>0</v>
      </c>
      <c r="Q3" s="853">
        <f>'03hod24'!Q6</f>
        <v>0</v>
      </c>
      <c r="R3" s="644"/>
      <c r="S3" s="644" t="str">
        <f>'03hod24'!S6</f>
        <v xml:space="preserve">Výplata za Březen </v>
      </c>
      <c r="T3" s="875" t="str">
        <f>'03hod24'!T6</f>
        <v>xx.04.2023</v>
      </c>
      <c r="U3" s="722">
        <f>T8*20</f>
        <v>0</v>
      </c>
      <c r="V3" s="643">
        <f t="shared" ref="V3:V36" si="3">WEEKDAY(A3,2)</f>
        <v>6</v>
      </c>
    </row>
    <row r="4" spans="1:22" x14ac:dyDescent="0.25">
      <c r="A4" s="1080"/>
      <c r="B4" s="657" t="str">
        <f t="shared" si="0"/>
        <v>So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654" t="s">
        <v>19</v>
      </c>
      <c r="P4" s="657" t="s">
        <v>19</v>
      </c>
      <c r="Q4" s="738">
        <v>0</v>
      </c>
      <c r="R4" s="611" t="s">
        <v>48</v>
      </c>
      <c r="S4" s="611" t="s">
        <v>48</v>
      </c>
      <c r="T4" s="874"/>
      <c r="U4" s="1178"/>
      <c r="V4" s="643">
        <f t="shared" si="3"/>
        <v>6</v>
      </c>
    </row>
    <row r="5" spans="1:22" x14ac:dyDescent="0.25">
      <c r="A5" s="1080"/>
      <c r="B5" s="657" t="str">
        <f t="shared" si="0"/>
        <v>So</v>
      </c>
      <c r="C5" s="724">
        <f t="shared" si="1"/>
        <v>0</v>
      </c>
      <c r="D5" s="1079">
        <f t="shared" si="2"/>
        <v>0</v>
      </c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1082">
        <f>O41*24</f>
        <v>0</v>
      </c>
      <c r="P5" s="657">
        <v>0</v>
      </c>
      <c r="Q5" s="738">
        <v>0</v>
      </c>
      <c r="R5" s="611" t="s">
        <v>17</v>
      </c>
      <c r="S5" s="611" t="s">
        <v>158</v>
      </c>
      <c r="T5" s="646"/>
      <c r="U5" s="1178"/>
      <c r="V5" s="643">
        <f t="shared" si="3"/>
        <v>6</v>
      </c>
    </row>
    <row r="6" spans="1:22" x14ac:dyDescent="0.25">
      <c r="A6" s="1080"/>
      <c r="B6" s="657" t="str">
        <f t="shared" si="0"/>
        <v>So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654" t="s">
        <v>14</v>
      </c>
      <c r="P6" s="657" t="s">
        <v>14</v>
      </c>
      <c r="Q6" s="738">
        <v>0</v>
      </c>
      <c r="R6" s="611" t="s">
        <v>17</v>
      </c>
      <c r="S6" s="611" t="s">
        <v>595</v>
      </c>
      <c r="T6" s="646" t="s">
        <v>599</v>
      </c>
      <c r="U6" s="1178"/>
      <c r="V6" s="643">
        <f t="shared" si="3"/>
        <v>6</v>
      </c>
    </row>
    <row r="7" spans="1:22" ht="15.75" thickBot="1" x14ac:dyDescent="0.3">
      <c r="A7" s="1080"/>
      <c r="B7" s="657" t="str">
        <f t="shared" si="0"/>
        <v>So</v>
      </c>
      <c r="C7" s="724">
        <f t="shared" si="1"/>
        <v>0</v>
      </c>
      <c r="D7" s="1079">
        <f t="shared" si="2"/>
        <v>0</v>
      </c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1082">
        <f>O42*24</f>
        <v>0</v>
      </c>
      <c r="P7" s="657">
        <v>0</v>
      </c>
      <c r="Q7" s="712" t="s">
        <v>134</v>
      </c>
      <c r="R7" s="647"/>
      <c r="S7" s="647" t="s">
        <v>48</v>
      </c>
      <c r="T7" s="648"/>
      <c r="U7" s="1178"/>
      <c r="V7" s="643">
        <f t="shared" si="3"/>
        <v>6</v>
      </c>
    </row>
    <row r="8" spans="1:22" x14ac:dyDescent="0.25">
      <c r="A8" s="1080"/>
      <c r="B8" s="657" t="str">
        <f t="shared" si="0"/>
        <v>So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20</v>
      </c>
      <c r="P8" s="1026" t="s">
        <v>20</v>
      </c>
      <c r="Q8" s="721">
        <f>Q4+Q5</f>
        <v>0</v>
      </c>
      <c r="R8" s="1178"/>
      <c r="S8" s="1178"/>
      <c r="T8" s="1178"/>
      <c r="U8" s="1178"/>
      <c r="V8" s="643">
        <f t="shared" si="3"/>
        <v>6</v>
      </c>
    </row>
    <row r="9" spans="1:22" x14ac:dyDescent="0.25">
      <c r="A9" s="1080"/>
      <c r="B9" s="657" t="str">
        <f t="shared" si="0"/>
        <v>So</v>
      </c>
      <c r="C9" s="724">
        <f t="shared" si="1"/>
        <v>0</v>
      </c>
      <c r="D9" s="1079">
        <f t="shared" si="2"/>
        <v>0</v>
      </c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509</v>
      </c>
      <c r="P9" s="1026" t="s">
        <v>509</v>
      </c>
      <c r="Q9" s="657" t="s">
        <v>229</v>
      </c>
      <c r="R9" s="1178"/>
      <c r="S9" s="1178"/>
      <c r="T9" s="1178"/>
      <c r="U9" s="1178"/>
      <c r="V9" s="643">
        <f t="shared" si="3"/>
        <v>6</v>
      </c>
    </row>
    <row r="10" spans="1:22" x14ac:dyDescent="0.25">
      <c r="A10" s="1080"/>
      <c r="B10" s="657" t="str">
        <f t="shared" si="0"/>
        <v>So</v>
      </c>
      <c r="C10" s="724">
        <f t="shared" si="1"/>
        <v>0</v>
      </c>
      <c r="D10" s="1079">
        <f t="shared" si="2"/>
        <v>0</v>
      </c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654" t="s">
        <v>23</v>
      </c>
      <c r="P10" s="1026" t="s">
        <v>23</v>
      </c>
      <c r="Q10" s="657">
        <f>SUM(Q3:Q5)</f>
        <v>0</v>
      </c>
      <c r="R10" s="1178"/>
      <c r="S10" s="1178"/>
      <c r="T10" s="1178"/>
      <c r="U10" s="1178"/>
      <c r="V10" s="643">
        <f t="shared" si="3"/>
        <v>6</v>
      </c>
    </row>
    <row r="11" spans="1:22" x14ac:dyDescent="0.25">
      <c r="A11" s="1080"/>
      <c r="B11" s="657" t="str">
        <f t="shared" si="0"/>
        <v>So</v>
      </c>
      <c r="C11" s="724">
        <f t="shared" si="1"/>
        <v>0</v>
      </c>
      <c r="D11" s="1079">
        <f t="shared" si="2"/>
        <v>0</v>
      </c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1083">
        <f>(O3*380)+U3</f>
        <v>0</v>
      </c>
      <c r="P11" s="1088">
        <f>SUM(P3*380)</f>
        <v>0</v>
      </c>
      <c r="Q11" s="719"/>
      <c r="R11" s="1178"/>
      <c r="S11" s="1178"/>
      <c r="T11" s="1178"/>
      <c r="U11" s="1178"/>
      <c r="V11" s="643">
        <f t="shared" si="3"/>
        <v>6</v>
      </c>
    </row>
    <row r="12" spans="1:22" x14ac:dyDescent="0.25">
      <c r="A12" s="1080"/>
      <c r="B12" s="657" t="str">
        <f t="shared" si="0"/>
        <v>So</v>
      </c>
      <c r="C12" s="724">
        <f t="shared" si="1"/>
        <v>0</v>
      </c>
      <c r="D12" s="1079">
        <f t="shared" si="2"/>
        <v>0</v>
      </c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654" t="s">
        <v>361</v>
      </c>
      <c r="P12" s="1026" t="s">
        <v>361</v>
      </c>
      <c r="Q12" s="1178"/>
      <c r="R12" s="1178"/>
      <c r="S12" s="1178"/>
      <c r="T12" s="1178"/>
      <c r="U12" s="1178"/>
      <c r="V12" s="643">
        <f t="shared" si="3"/>
        <v>6</v>
      </c>
    </row>
    <row r="13" spans="1:22" x14ac:dyDescent="0.25">
      <c r="A13" s="1080"/>
      <c r="B13" s="657" t="str">
        <f t="shared" si="0"/>
        <v>So</v>
      </c>
      <c r="C13" s="724">
        <f t="shared" si="1"/>
        <v>0</v>
      </c>
      <c r="D13" s="1079">
        <f t="shared" si="2"/>
        <v>0</v>
      </c>
      <c r="E13" s="724"/>
      <c r="F13" s="724"/>
      <c r="G13" s="724"/>
      <c r="H13" s="654"/>
      <c r="I13" s="657"/>
      <c r="J13" s="654"/>
      <c r="K13" s="657"/>
      <c r="L13" s="654"/>
      <c r="M13" s="657"/>
      <c r="N13" s="714"/>
      <c r="O13" s="1083">
        <f>(O11+O21+O19-O23)-O15-P25</f>
        <v>0</v>
      </c>
      <c r="P13" s="1088">
        <f>(P11+P19+P21-P23)-P15-P25</f>
        <v>0</v>
      </c>
      <c r="Q13" s="1178"/>
      <c r="R13" s="1178"/>
      <c r="S13" s="1178"/>
      <c r="T13" s="1178"/>
      <c r="U13" s="1178"/>
      <c r="V13" s="643">
        <f t="shared" si="3"/>
        <v>6</v>
      </c>
    </row>
    <row r="14" spans="1:22" x14ac:dyDescent="0.25">
      <c r="A14" s="1080"/>
      <c r="B14" s="657" t="str">
        <f t="shared" si="0"/>
        <v>So</v>
      </c>
      <c r="C14" s="724">
        <f t="shared" si="1"/>
        <v>0</v>
      </c>
      <c r="D14" s="1079">
        <f t="shared" si="2"/>
        <v>0</v>
      </c>
      <c r="E14" s="724"/>
      <c r="F14" s="724"/>
      <c r="G14" s="724"/>
      <c r="H14" s="654"/>
      <c r="I14" s="657"/>
      <c r="J14" s="654"/>
      <c r="K14" s="657"/>
      <c r="L14" s="654"/>
      <c r="M14" s="657"/>
      <c r="N14" s="714"/>
      <c r="O14" s="654" t="s">
        <v>26</v>
      </c>
      <c r="P14" s="1088" t="s">
        <v>26</v>
      </c>
      <c r="Q14" s="1178"/>
      <c r="R14" s="1178"/>
      <c r="S14" s="1178"/>
      <c r="T14" s="1178"/>
      <c r="U14" s="1178"/>
      <c r="V14" s="643">
        <f t="shared" si="3"/>
        <v>6</v>
      </c>
    </row>
    <row r="15" spans="1:22" x14ac:dyDescent="0.25">
      <c r="A15" s="1080"/>
      <c r="B15" s="657" t="str">
        <f t="shared" si="0"/>
        <v>So</v>
      </c>
      <c r="C15" s="724">
        <f t="shared" si="1"/>
        <v>0</v>
      </c>
      <c r="D15" s="1079">
        <f t="shared" si="2"/>
        <v>0</v>
      </c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1083">
        <f>(O17*25.53)</f>
        <v>0</v>
      </c>
      <c r="P15" s="1088">
        <f>(P17*25.53)</f>
        <v>0</v>
      </c>
      <c r="Q15" s="923" t="s">
        <v>458</v>
      </c>
      <c r="R15" s="1004">
        <f>P15+P23-P19</f>
        <v>0</v>
      </c>
      <c r="S15" s="1007"/>
      <c r="T15" s="923" t="s">
        <v>462</v>
      </c>
      <c r="U15" s="1004">
        <f>P15+P23</f>
        <v>0</v>
      </c>
      <c r="V15" s="643">
        <f t="shared" si="3"/>
        <v>6</v>
      </c>
    </row>
    <row r="16" spans="1:22" x14ac:dyDescent="0.25">
      <c r="A16" s="1080"/>
      <c r="B16" s="657" t="str">
        <f t="shared" si="0"/>
        <v>So</v>
      </c>
      <c r="C16" s="724">
        <f t="shared" si="1"/>
        <v>0</v>
      </c>
      <c r="D16" s="1079">
        <f t="shared" si="2"/>
        <v>0</v>
      </c>
      <c r="E16" s="724"/>
      <c r="F16" s="724"/>
      <c r="G16" s="724"/>
      <c r="H16" s="654"/>
      <c r="I16" s="657"/>
      <c r="J16" s="654"/>
      <c r="K16" s="657"/>
      <c r="L16" s="654"/>
      <c r="M16" s="657"/>
      <c r="N16" s="714"/>
      <c r="O16" s="654" t="s">
        <v>29</v>
      </c>
      <c r="P16" s="1026" t="s">
        <v>29</v>
      </c>
      <c r="Q16" s="1179" t="s">
        <v>459</v>
      </c>
      <c r="R16" s="1180">
        <f>P11</f>
        <v>0</v>
      </c>
      <c r="S16" s="1008"/>
      <c r="T16" s="1179" t="s">
        <v>463</v>
      </c>
      <c r="U16" s="1180">
        <f>P11+P19+P21+O29</f>
        <v>0</v>
      </c>
      <c r="V16" s="643">
        <f t="shared" si="3"/>
        <v>6</v>
      </c>
    </row>
    <row r="17" spans="1:22" x14ac:dyDescent="0.25">
      <c r="A17" s="1080"/>
      <c r="B17" s="657" t="str">
        <f t="shared" si="0"/>
        <v>So</v>
      </c>
      <c r="C17" s="724">
        <f t="shared" si="1"/>
        <v>0</v>
      </c>
      <c r="D17" s="1079">
        <f t="shared" si="2"/>
        <v>0</v>
      </c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1154">
        <f>MMcashRR!O44</f>
        <v>0</v>
      </c>
      <c r="P17" s="1089">
        <v>0</v>
      </c>
      <c r="Q17" s="1179"/>
      <c r="R17" s="1181">
        <f>R16-R15</f>
        <v>0</v>
      </c>
      <c r="S17" s="1008"/>
      <c r="T17" s="1179" t="s">
        <v>513</v>
      </c>
      <c r="U17" s="1180">
        <f>U16-U15</f>
        <v>0</v>
      </c>
      <c r="V17" s="643">
        <f t="shared" si="3"/>
        <v>6</v>
      </c>
    </row>
    <row r="18" spans="1:22" x14ac:dyDescent="0.25">
      <c r="A18" s="1080"/>
      <c r="B18" s="657" t="str">
        <f t="shared" si="0"/>
        <v>So</v>
      </c>
      <c r="C18" s="724">
        <f t="shared" si="1"/>
        <v>0</v>
      </c>
      <c r="D18" s="1079">
        <f t="shared" si="2"/>
        <v>0</v>
      </c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654" t="s">
        <v>31</v>
      </c>
      <c r="P18" s="1026" t="s">
        <v>31</v>
      </c>
      <c r="Q18" s="1180">
        <f>R17-Q6-Q8</f>
        <v>0</v>
      </c>
      <c r="R18" s="1179"/>
      <c r="S18" s="1009"/>
      <c r="T18" s="1179" t="s">
        <v>514</v>
      </c>
      <c r="U18" s="1180">
        <f>U17-Q6-Q8</f>
        <v>0</v>
      </c>
      <c r="V18" s="643">
        <f t="shared" si="3"/>
        <v>6</v>
      </c>
    </row>
    <row r="19" spans="1:22" x14ac:dyDescent="0.25">
      <c r="A19" s="1080"/>
      <c r="B19" s="657" t="str">
        <f t="shared" si="0"/>
        <v>So</v>
      </c>
      <c r="C19" s="724">
        <f t="shared" si="1"/>
        <v>0</v>
      </c>
      <c r="D19" s="1079">
        <f t="shared" si="2"/>
        <v>0</v>
      </c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/>
      <c r="P19" s="1088"/>
      <c r="Q19" s="1179"/>
      <c r="R19" s="1179"/>
      <c r="S19" s="1008"/>
      <c r="T19" s="1179"/>
      <c r="U19" s="1179"/>
      <c r="V19" s="643">
        <f t="shared" si="3"/>
        <v>6</v>
      </c>
    </row>
    <row r="20" spans="1:22" x14ac:dyDescent="0.25">
      <c r="A20" s="1080"/>
      <c r="B20" s="657" t="str">
        <f t="shared" si="0"/>
        <v>So</v>
      </c>
      <c r="C20" s="724">
        <f t="shared" si="1"/>
        <v>0</v>
      </c>
      <c r="D20" s="1079">
        <f t="shared" si="2"/>
        <v>0</v>
      </c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 t="s">
        <v>33</v>
      </c>
      <c r="P20" s="1088" t="s">
        <v>33</v>
      </c>
      <c r="Q20" s="1179"/>
      <c r="R20" s="1179"/>
      <c r="S20" s="1008"/>
      <c r="T20" s="1179"/>
      <c r="U20" s="1179"/>
      <c r="V20" s="643">
        <f t="shared" si="3"/>
        <v>6</v>
      </c>
    </row>
    <row r="21" spans="1:22" x14ac:dyDescent="0.25">
      <c r="A21" s="1080"/>
      <c r="B21" s="657" t="str">
        <f t="shared" si="0"/>
        <v>So</v>
      </c>
      <c r="C21" s="724">
        <f t="shared" si="1"/>
        <v>0</v>
      </c>
      <c r="D21" s="1079">
        <f t="shared" si="2"/>
        <v>0</v>
      </c>
      <c r="E21" s="724"/>
      <c r="F21" s="724"/>
      <c r="G21" s="724"/>
      <c r="H21" s="654"/>
      <c r="I21" s="657"/>
      <c r="J21" s="654"/>
      <c r="K21" s="657"/>
      <c r="L21" s="654"/>
      <c r="M21" s="657"/>
      <c r="N21" s="714"/>
      <c r="O21" s="1083">
        <v>0</v>
      </c>
      <c r="P21" s="1088">
        <v>0</v>
      </c>
      <c r="Q21" s="1179"/>
      <c r="R21" s="1179"/>
      <c r="S21" s="1008"/>
      <c r="T21" s="1179"/>
      <c r="U21" s="1179"/>
      <c r="V21" s="643">
        <f t="shared" si="3"/>
        <v>6</v>
      </c>
    </row>
    <row r="22" spans="1:22" x14ac:dyDescent="0.25">
      <c r="A22" s="1080"/>
      <c r="B22" s="657" t="str">
        <f t="shared" si="0"/>
        <v>So</v>
      </c>
      <c r="C22" s="724">
        <f t="shared" si="1"/>
        <v>0</v>
      </c>
      <c r="D22" s="1079">
        <f t="shared" si="2"/>
        <v>0</v>
      </c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 t="s">
        <v>34</v>
      </c>
      <c r="P22" s="1088" t="s">
        <v>34</v>
      </c>
      <c r="Q22" s="1179"/>
      <c r="R22" s="1179"/>
      <c r="S22" s="1008"/>
      <c r="T22" s="1179"/>
      <c r="U22" s="1179"/>
      <c r="V22" s="643">
        <f t="shared" si="3"/>
        <v>6</v>
      </c>
    </row>
    <row r="23" spans="1:22" x14ac:dyDescent="0.25">
      <c r="A23" s="1080"/>
      <c r="B23" s="657" t="str">
        <f t="shared" si="0"/>
        <v>So</v>
      </c>
      <c r="C23" s="724">
        <f t="shared" si="1"/>
        <v>0</v>
      </c>
      <c r="D23" s="1079">
        <f t="shared" si="2"/>
        <v>0</v>
      </c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3">
        <v>0</v>
      </c>
      <c r="P23" s="1088">
        <v>0</v>
      </c>
      <c r="Q23" s="1179"/>
      <c r="R23" s="1017"/>
      <c r="S23" s="1178"/>
      <c r="T23" s="1179"/>
      <c r="U23" s="1179"/>
      <c r="V23" s="643">
        <f t="shared" si="3"/>
        <v>6</v>
      </c>
    </row>
    <row r="24" spans="1:22" x14ac:dyDescent="0.25">
      <c r="A24" s="1080"/>
      <c r="B24" s="657" t="str">
        <f t="shared" si="0"/>
        <v>So</v>
      </c>
      <c r="C24" s="724">
        <f t="shared" si="1"/>
        <v>0</v>
      </c>
      <c r="D24" s="1079">
        <f t="shared" si="2"/>
        <v>0</v>
      </c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5" t="s">
        <v>364</v>
      </c>
      <c r="P24" s="1090" t="s">
        <v>363</v>
      </c>
      <c r="Q24" s="1182">
        <f>Q18-P25</f>
        <v>0</v>
      </c>
      <c r="R24" s="1018"/>
      <c r="S24" s="1182">
        <f>U18-O27</f>
        <v>0</v>
      </c>
      <c r="T24" s="1179"/>
      <c r="U24" s="1179"/>
      <c r="V24" s="643">
        <f t="shared" si="3"/>
        <v>6</v>
      </c>
    </row>
    <row r="25" spans="1:22" x14ac:dyDescent="0.25">
      <c r="A25" s="1080"/>
      <c r="B25" s="657" t="str">
        <f t="shared" si="0"/>
        <v>So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1086">
        <f>P13-Q6</f>
        <v>0</v>
      </c>
      <c r="P25" s="1088">
        <f>O27-O29</f>
        <v>0</v>
      </c>
      <c r="Q25" s="1020"/>
      <c r="R25" s="1019"/>
      <c r="S25" s="1006"/>
      <c r="T25" s="1006"/>
      <c r="U25" s="1006"/>
      <c r="V25" s="643">
        <f t="shared" si="3"/>
        <v>6</v>
      </c>
    </row>
    <row r="26" spans="1:22" x14ac:dyDescent="0.25">
      <c r="A26" s="1080"/>
      <c r="B26" s="657" t="str">
        <f t="shared" si="0"/>
        <v>So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654" t="s">
        <v>372</v>
      </c>
      <c r="P26" s="1026"/>
      <c r="Q26" s="1178"/>
      <c r="R26" s="1178"/>
      <c r="S26" s="1178"/>
      <c r="T26" s="1178"/>
      <c r="U26" s="1178"/>
      <c r="V26" s="643">
        <f t="shared" si="3"/>
        <v>6</v>
      </c>
    </row>
    <row r="27" spans="1:22" x14ac:dyDescent="0.25">
      <c r="A27" s="1080"/>
      <c r="B27" s="657" t="str">
        <f t="shared" si="0"/>
        <v>So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1083">
        <v>0</v>
      </c>
      <c r="P27" s="1088"/>
      <c r="Q27" s="1178"/>
      <c r="R27" s="1178"/>
      <c r="S27" s="1178"/>
      <c r="T27" s="1178"/>
      <c r="U27" s="1178"/>
      <c r="V27" s="643">
        <f t="shared" si="3"/>
        <v>6</v>
      </c>
    </row>
    <row r="28" spans="1:22" x14ac:dyDescent="0.25">
      <c r="A28" s="1080"/>
      <c r="B28" s="657" t="str">
        <f t="shared" si="0"/>
        <v>So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654" t="s">
        <v>373</v>
      </c>
      <c r="P28" s="1026"/>
      <c r="Q28" s="1178"/>
      <c r="R28" s="1178"/>
      <c r="S28" s="1178"/>
      <c r="T28" s="1178"/>
      <c r="U28" s="1178"/>
      <c r="V28" s="643">
        <f t="shared" si="3"/>
        <v>6</v>
      </c>
    </row>
    <row r="29" spans="1:22" x14ac:dyDescent="0.25">
      <c r="A29" s="1080"/>
      <c r="B29" s="657" t="str">
        <f t="shared" si="0"/>
        <v>So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>
        <f>'03hod24'!O27</f>
        <v>0</v>
      </c>
      <c r="P29" s="1026"/>
      <c r="Q29" s="1178"/>
      <c r="R29" s="1178"/>
      <c r="S29" s="1178"/>
      <c r="T29" s="1178"/>
      <c r="U29" s="1178"/>
      <c r="V29" s="643">
        <f t="shared" si="3"/>
        <v>6</v>
      </c>
    </row>
    <row r="30" spans="1:22" x14ac:dyDescent="0.25">
      <c r="A30" s="1080"/>
      <c r="B30" s="657" t="str">
        <f t="shared" si="0"/>
        <v>So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1083"/>
      <c r="P30" s="1083"/>
      <c r="Q30" s="1178"/>
      <c r="R30" s="1178"/>
      <c r="S30" s="1178"/>
      <c r="T30" s="1178"/>
      <c r="U30" s="1178"/>
      <c r="V30" s="643">
        <f t="shared" si="3"/>
        <v>6</v>
      </c>
    </row>
    <row r="31" spans="1:22" x14ac:dyDescent="0.25">
      <c r="A31" s="1080"/>
      <c r="B31" s="657" t="str">
        <f t="shared" si="0"/>
        <v>So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918"/>
      <c r="P31" s="1091"/>
      <c r="Q31" s="1178"/>
      <c r="R31" s="1178"/>
      <c r="S31" s="1178"/>
      <c r="T31" s="1178"/>
      <c r="U31" s="1178"/>
      <c r="V31" s="643">
        <f t="shared" si="3"/>
        <v>6</v>
      </c>
    </row>
    <row r="32" spans="1:22" x14ac:dyDescent="0.25">
      <c r="A32" s="1080"/>
      <c r="B32" s="657" t="str">
        <f t="shared" si="0"/>
        <v>So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1178"/>
      <c r="R32" s="1178"/>
      <c r="S32" s="1178"/>
      <c r="T32" s="1178"/>
      <c r="U32" s="1178"/>
      <c r="V32" s="643">
        <f t="shared" si="3"/>
        <v>6</v>
      </c>
    </row>
    <row r="33" spans="1:22" x14ac:dyDescent="0.25">
      <c r="A33" s="1080"/>
      <c r="B33" s="657" t="str">
        <f t="shared" si="0"/>
        <v>So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1178"/>
      <c r="R33" s="1178"/>
      <c r="S33" s="1178"/>
      <c r="T33" s="1178"/>
      <c r="U33" s="1178"/>
      <c r="V33" s="643">
        <f t="shared" si="3"/>
        <v>6</v>
      </c>
    </row>
    <row r="34" spans="1:22" x14ac:dyDescent="0.25">
      <c r="A34" s="1080"/>
      <c r="B34" s="657" t="str">
        <f t="shared" si="0"/>
        <v>So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1178"/>
      <c r="R34" s="1178"/>
      <c r="S34" s="1178"/>
      <c r="T34" s="1178"/>
      <c r="U34" s="1178"/>
      <c r="V34" s="643">
        <f t="shared" si="3"/>
        <v>6</v>
      </c>
    </row>
    <row r="35" spans="1:22" x14ac:dyDescent="0.25">
      <c r="A35" s="1080"/>
      <c r="B35" s="657" t="str">
        <f t="shared" si="0"/>
        <v>So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7"/>
      <c r="L35" s="654"/>
      <c r="M35" s="657"/>
      <c r="N35" s="714"/>
      <c r="O35" s="654"/>
      <c r="P35" s="1026"/>
      <c r="Q35" s="1178"/>
      <c r="R35" s="1178"/>
      <c r="S35" s="1178"/>
      <c r="T35" s="1178"/>
      <c r="U35" s="1178"/>
      <c r="V35" s="643">
        <f t="shared" si="3"/>
        <v>6</v>
      </c>
    </row>
    <row r="36" spans="1:22" ht="15.75" thickBot="1" x14ac:dyDescent="0.3">
      <c r="A36" s="1080"/>
      <c r="B36" s="658" t="str">
        <f t="shared" si="0"/>
        <v>So</v>
      </c>
      <c r="C36" s="724">
        <f t="shared" si="1"/>
        <v>0</v>
      </c>
      <c r="D36" s="1079">
        <f t="shared" si="2"/>
        <v>0</v>
      </c>
      <c r="E36" s="724"/>
      <c r="F36" s="724"/>
      <c r="G36" s="724"/>
      <c r="H36" s="654"/>
      <c r="I36" s="657"/>
      <c r="J36" s="654"/>
      <c r="K36" s="658"/>
      <c r="L36" s="654"/>
      <c r="M36" s="658"/>
      <c r="N36" s="1087"/>
      <c r="O36" s="655"/>
      <c r="P36" s="1027"/>
      <c r="Q36" s="1178"/>
      <c r="R36" s="1178"/>
      <c r="S36" s="1178"/>
      <c r="T36" s="1178"/>
      <c r="U36" s="1178"/>
      <c r="V36" s="643">
        <f t="shared" si="3"/>
        <v>6</v>
      </c>
    </row>
    <row r="39" spans="1:22" x14ac:dyDescent="0.25">
      <c r="E39" s="731"/>
      <c r="F39" s="731"/>
      <c r="O39" s="731"/>
    </row>
    <row r="40" spans="1:22" x14ac:dyDescent="0.25">
      <c r="C40" s="733"/>
      <c r="E40" s="732"/>
      <c r="F40" s="732"/>
    </row>
    <row r="41" spans="1:22" x14ac:dyDescent="0.25">
      <c r="O41" s="732">
        <f>SUM(C3:C32)</f>
        <v>0</v>
      </c>
      <c r="P41" t="s">
        <v>315</v>
      </c>
    </row>
    <row r="42" spans="1:22" x14ac:dyDescent="0.25">
      <c r="O42" s="732">
        <v>0</v>
      </c>
      <c r="P42" t="s">
        <v>316</v>
      </c>
    </row>
    <row r="46" spans="1:22" x14ac:dyDescent="0.25">
      <c r="C46" s="731"/>
    </row>
    <row r="51" spans="15:15" x14ac:dyDescent="0.25">
      <c r="O51" s="731">
        <f>TIME(0,30,0)</f>
        <v>2.0833333333333332E-2</v>
      </c>
    </row>
    <row r="52" spans="15:15" x14ac:dyDescent="0.25">
      <c r="O52" s="731">
        <f>TIME(1,0,0)</f>
        <v>4.1666666666666664E-2</v>
      </c>
    </row>
  </sheetData>
  <pageMargins left="0.7" right="0.7" top="0.75" bottom="0.75" header="0.3" footer="0.3"/>
  <tableParts count="1">
    <tablePart r:id="rId1"/>
  </tableParts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97ED6-0A90-4422-9B9A-1BD073362818}">
  <dimension ref="A1:AP61"/>
  <sheetViews>
    <sheetView zoomScaleNormal="60" zoomScaleSheetLayoutView="100" workbookViewId="0">
      <selection activeCell="P45" sqref="P45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7109375" bestFit="1" customWidth="1"/>
    <col min="4" max="4" width="10.5703125" bestFit="1" customWidth="1"/>
    <col min="5" max="5" width="9" bestFit="1" customWidth="1"/>
    <col min="6" max="6" width="10.5703125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11.28515625" customWidth="1"/>
    <col min="17" max="17" width="19.425781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4" customWidth="1"/>
    <col min="37" max="37" width="13.140625" customWidth="1"/>
    <col min="38" max="38" width="14.28515625" customWidth="1"/>
    <col min="41" max="41" width="11.42578125" bestFit="1" customWidth="1"/>
    <col min="42" max="42" width="12.7109375" bestFit="1" customWidth="1"/>
  </cols>
  <sheetData>
    <row r="1" spans="1:42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731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  <c r="AO1" s="1211"/>
      <c r="AP1" s="879"/>
    </row>
    <row r="2" spans="1:42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725</v>
      </c>
      <c r="R2" s="966" t="s">
        <v>441</v>
      </c>
      <c r="S2" s="967" t="s">
        <v>700</v>
      </c>
      <c r="T2" s="966" t="s">
        <v>442</v>
      </c>
      <c r="U2" s="964" t="s">
        <v>471</v>
      </c>
      <c r="V2" s="966" t="s">
        <v>443</v>
      </c>
      <c r="W2" s="964" t="s">
        <v>461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  <c r="AO2" s="1211"/>
      <c r="AP2" s="879"/>
    </row>
    <row r="3" spans="1:42" ht="16.5" thickTop="1" thickBot="1" x14ac:dyDescent="0.3">
      <c r="A3" s="695"/>
      <c r="B3" s="979"/>
      <c r="C3" s="945"/>
      <c r="D3" s="619"/>
      <c r="E3" s="979"/>
      <c r="F3" s="952"/>
      <c r="G3" s="975"/>
      <c r="H3" s="952"/>
      <c r="I3" s="619"/>
      <c r="J3" s="978"/>
      <c r="K3" s="952"/>
      <c r="L3" s="959"/>
      <c r="M3" s="981"/>
      <c r="N3" s="952"/>
      <c r="O3" s="984">
        <f>AG44-AK6</f>
        <v>0</v>
      </c>
      <c r="P3" s="1218">
        <f>AE44-AJ6</f>
        <v>0</v>
      </c>
      <c r="Q3" s="984"/>
      <c r="R3" s="937"/>
      <c r="S3" s="984"/>
      <c r="T3" s="937"/>
      <c r="U3" s="984"/>
      <c r="V3" s="937"/>
      <c r="W3" s="989"/>
      <c r="X3" s="937"/>
      <c r="Y3" s="989"/>
      <c r="Z3" s="937"/>
      <c r="AA3" s="984"/>
      <c r="AB3" s="937"/>
      <c r="AC3" s="990"/>
      <c r="AD3" s="937"/>
      <c r="AE3" s="993"/>
      <c r="AF3" s="997"/>
      <c r="AG3" s="963"/>
      <c r="AH3" s="299">
        <v>0</v>
      </c>
      <c r="AI3" s="300">
        <v>0</v>
      </c>
      <c r="AJ3" s="301">
        <f>AH6+AJ6</f>
        <v>0</v>
      </c>
      <c r="AK3" s="302">
        <f>AK6+AI6</f>
        <v>0</v>
      </c>
      <c r="AO3" s="1211"/>
      <c r="AP3" s="879"/>
    </row>
    <row r="4" spans="1:42" ht="19.5" thickBot="1" x14ac:dyDescent="0.3">
      <c r="A4" s="856"/>
      <c r="B4" s="979"/>
      <c r="C4" s="946"/>
      <c r="D4" s="618"/>
      <c r="E4" s="979"/>
      <c r="F4" s="953"/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/>
      <c r="R4" s="938"/>
      <c r="S4" s="986"/>
      <c r="T4" s="938"/>
      <c r="U4" s="986"/>
      <c r="V4" s="938"/>
      <c r="W4" s="990"/>
      <c r="X4" s="938"/>
      <c r="Y4" s="990"/>
      <c r="Z4" s="938"/>
      <c r="AA4" s="986"/>
      <c r="AB4" s="938"/>
      <c r="AC4" s="1051"/>
      <c r="AD4" s="938"/>
      <c r="AE4" s="994"/>
      <c r="AF4" s="997"/>
      <c r="AG4" s="963"/>
      <c r="AH4" s="1282" t="s">
        <v>63</v>
      </c>
      <c r="AI4" s="1245"/>
      <c r="AJ4" s="1246" t="s">
        <v>64</v>
      </c>
      <c r="AK4" s="1237"/>
      <c r="AO4" s="1211"/>
      <c r="AP4" s="879"/>
    </row>
    <row r="5" spans="1:42" ht="15.75" x14ac:dyDescent="0.25">
      <c r="A5" s="856"/>
      <c r="B5" s="979"/>
      <c r="C5" s="946"/>
      <c r="D5" s="618"/>
      <c r="E5" s="979"/>
      <c r="F5" s="953"/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1070"/>
      <c r="R5" s="1068"/>
      <c r="S5" s="986"/>
      <c r="T5" s="938"/>
      <c r="U5" s="986"/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/>
      <c r="AG5" s="963"/>
      <c r="AH5" s="119" t="s">
        <v>50</v>
      </c>
      <c r="AI5" s="313" t="s">
        <v>52</v>
      </c>
      <c r="AJ5" s="121" t="s">
        <v>50</v>
      </c>
      <c r="AK5" s="122" t="s">
        <v>52</v>
      </c>
      <c r="AO5" s="1211"/>
      <c r="AP5" s="879"/>
    </row>
    <row r="6" spans="1:42" ht="15.75" thickBot="1" x14ac:dyDescent="0.3">
      <c r="A6" s="856"/>
      <c r="B6" s="979"/>
      <c r="C6" s="946"/>
      <c r="D6" s="618"/>
      <c r="E6" s="979"/>
      <c r="F6" s="953"/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/>
      <c r="R6" s="1068"/>
      <c r="S6" s="986"/>
      <c r="T6" s="938"/>
      <c r="U6" s="986"/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/>
      <c r="AG6" s="963"/>
      <c r="AH6" s="612">
        <f>A44+L44</f>
        <v>0</v>
      </c>
      <c r="AI6" s="317">
        <f>D44+H44+K44+N45</f>
        <v>0</v>
      </c>
      <c r="AJ6" s="128">
        <f>L45+C44+U48+Q47</f>
        <v>0</v>
      </c>
      <c r="AK6" s="129">
        <f>F44+G44+I44+M45+Q44+S44+W44+Y44+AA44+AC44+Y47+Y50+AA47+AA50+AC47+AC50+U44</f>
        <v>0</v>
      </c>
      <c r="AO6" s="1211"/>
      <c r="AP6" s="879"/>
    </row>
    <row r="7" spans="1:42" ht="19.5" thickBot="1" x14ac:dyDescent="0.3">
      <c r="A7" s="856"/>
      <c r="B7" s="979"/>
      <c r="C7" s="946"/>
      <c r="D7" s="618"/>
      <c r="E7" s="979"/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62"/>
      <c r="R7" s="1068"/>
      <c r="S7" s="986"/>
      <c r="T7" s="938"/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/>
      <c r="AG7" s="963"/>
      <c r="AH7" s="613" t="s">
        <v>66</v>
      </c>
      <c r="AI7" s="321" t="s">
        <v>67</v>
      </c>
      <c r="AO7" s="1211"/>
      <c r="AP7" s="879"/>
    </row>
    <row r="8" spans="1:42" x14ac:dyDescent="0.25">
      <c r="A8" s="856"/>
      <c r="B8" s="979"/>
      <c r="C8" s="946"/>
      <c r="D8" s="618"/>
      <c r="E8" s="979"/>
      <c r="F8" s="953"/>
      <c r="G8" s="976"/>
      <c r="H8" s="953"/>
      <c r="I8" s="618"/>
      <c r="J8" s="979"/>
      <c r="K8" s="953"/>
      <c r="L8" s="960"/>
      <c r="M8" s="982"/>
      <c r="N8" s="953"/>
      <c r="O8" s="976"/>
      <c r="P8" s="946"/>
      <c r="Q8" s="1062"/>
      <c r="R8" s="1068"/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/>
      <c r="AG8" s="1151"/>
      <c r="AH8" s="326">
        <v>0</v>
      </c>
      <c r="AI8" s="327">
        <f>E44</f>
        <v>0</v>
      </c>
      <c r="AO8" s="1211"/>
      <c r="AP8" s="879"/>
    </row>
    <row r="9" spans="1:42" ht="15.75" thickBot="1" x14ac:dyDescent="0.3">
      <c r="A9" s="856"/>
      <c r="B9" s="979"/>
      <c r="C9" s="946"/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1062"/>
      <c r="R9" s="938"/>
      <c r="S9" s="976"/>
      <c r="T9" s="938"/>
      <c r="U9" s="1070"/>
      <c r="V9" s="1068"/>
      <c r="W9" s="990"/>
      <c r="X9" s="938"/>
      <c r="Y9" s="990"/>
      <c r="Z9" s="938"/>
      <c r="AA9" s="986"/>
      <c r="AB9" s="938"/>
      <c r="AC9" s="990"/>
      <c r="AD9" s="938"/>
      <c r="AE9" s="1143"/>
      <c r="AF9" s="997"/>
      <c r="AG9" s="1151"/>
      <c r="AH9" s="1244">
        <f>AH8-AI8</f>
        <v>0</v>
      </c>
      <c r="AI9" s="1222"/>
      <c r="AO9" s="1210"/>
      <c r="AP9" s="879"/>
    </row>
    <row r="10" spans="1:42" x14ac:dyDescent="0.25">
      <c r="A10" s="1155"/>
      <c r="B10" s="979"/>
      <c r="C10" s="1060"/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62"/>
      <c r="R10" s="1068"/>
      <c r="S10" s="1069"/>
      <c r="T10" s="1068"/>
      <c r="U10" s="1070"/>
      <c r="V10" s="1068"/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/>
      <c r="AG10" s="1151"/>
      <c r="AH10" s="610"/>
      <c r="AI10" s="1052"/>
    </row>
    <row r="11" spans="1:42" x14ac:dyDescent="0.25">
      <c r="A11" s="1155"/>
      <c r="B11" s="979"/>
      <c r="C11" s="1060"/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/>
      <c r="R11" s="1068"/>
      <c r="S11" s="1069"/>
      <c r="T11" s="1068"/>
      <c r="U11" s="1070"/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/>
      <c r="AG11" s="963"/>
      <c r="AH11" s="610"/>
      <c r="AI11" s="1052"/>
    </row>
    <row r="12" spans="1:42" x14ac:dyDescent="0.25">
      <c r="A12" s="1155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/>
      <c r="R12" s="1068"/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073"/>
      <c r="AG12" s="1216"/>
      <c r="AH12" s="1171"/>
      <c r="AI12" s="1203"/>
      <c r="AJ12" s="1206"/>
      <c r="AK12" s="1204"/>
      <c r="AL12" s="1207"/>
    </row>
    <row r="13" spans="1:42" x14ac:dyDescent="0.25">
      <c r="A13" s="1155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/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1201"/>
      <c r="AH13" s="1171"/>
      <c r="AI13" s="1203"/>
      <c r="AJ13" s="1206"/>
      <c r="AK13" s="1204"/>
      <c r="AL13" s="1207"/>
    </row>
    <row r="14" spans="1:42" x14ac:dyDescent="0.25">
      <c r="A14" s="856"/>
      <c r="B14" s="979"/>
      <c r="C14" s="946"/>
      <c r="D14" s="663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1070"/>
      <c r="V14" s="1068"/>
      <c r="W14" s="990"/>
      <c r="X14" s="938"/>
      <c r="Y14" s="990"/>
      <c r="Z14" s="938"/>
      <c r="AA14" s="976"/>
      <c r="AB14" s="938"/>
      <c r="AC14" s="991"/>
      <c r="AD14" s="938"/>
      <c r="AE14" s="994"/>
      <c r="AF14" s="1073"/>
      <c r="AG14" s="1073"/>
      <c r="AH14" s="1171"/>
      <c r="AI14" s="1203"/>
      <c r="AJ14" s="1206"/>
      <c r="AK14" s="1204"/>
      <c r="AL14" s="1207"/>
    </row>
    <row r="15" spans="1:42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1070"/>
      <c r="V15" s="106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1201"/>
      <c r="AH15" s="1171"/>
      <c r="AI15" s="1204"/>
      <c r="AJ15" s="1206"/>
      <c r="AK15" s="1204"/>
      <c r="AL15" s="1207"/>
    </row>
    <row r="16" spans="1:42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1070"/>
      <c r="V16" s="106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1201"/>
      <c r="AH16" s="1171"/>
      <c r="AI16" s="1204"/>
      <c r="AJ16" s="1206"/>
      <c r="AK16" s="1204"/>
      <c r="AL16" s="1207"/>
    </row>
    <row r="17" spans="1:38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1201"/>
      <c r="AH17" s="1171"/>
      <c r="AI17" s="1204"/>
      <c r="AJ17" s="1206"/>
      <c r="AK17" s="1204"/>
      <c r="AL17" s="1207"/>
    </row>
    <row r="18" spans="1:38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1201"/>
      <c r="AH18" s="1171"/>
      <c r="AI18" s="1204"/>
      <c r="AJ18" s="1206"/>
      <c r="AK18" s="1204"/>
      <c r="AL18" s="1207"/>
    </row>
    <row r="19" spans="1:38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1201"/>
      <c r="AH19" s="1171"/>
      <c r="AI19" s="1204"/>
      <c r="AJ19" s="1206"/>
      <c r="AK19" s="1204"/>
      <c r="AL19" s="1207"/>
    </row>
    <row r="20" spans="1:38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1070"/>
      <c r="V20" s="1068"/>
      <c r="W20" s="990"/>
      <c r="X20" s="938"/>
      <c r="Y20" s="990"/>
      <c r="Z20" s="938"/>
      <c r="AA20" s="986"/>
      <c r="AB20" s="938"/>
      <c r="AC20" s="991"/>
      <c r="AD20" s="938"/>
      <c r="AE20" s="994"/>
      <c r="AF20" s="1073"/>
      <c r="AG20" s="1201"/>
      <c r="AH20" s="1171"/>
      <c r="AI20" s="1204"/>
      <c r="AJ20" s="1206"/>
      <c r="AK20" s="1204"/>
      <c r="AL20" s="1207"/>
    </row>
    <row r="21" spans="1:38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1070"/>
      <c r="V21" s="106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1201"/>
      <c r="AH21" s="1171"/>
      <c r="AI21" s="1204"/>
      <c r="AJ21" s="1206"/>
      <c r="AK21" s="1204"/>
      <c r="AL21" s="1207"/>
    </row>
    <row r="22" spans="1:38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1201"/>
      <c r="AH22" s="1171"/>
      <c r="AI22" s="1204"/>
      <c r="AJ22" s="1206"/>
      <c r="AK22" s="1204"/>
      <c r="AL22" s="1207"/>
    </row>
    <row r="23" spans="1:38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1201"/>
      <c r="AH23" s="1171"/>
      <c r="AI23" s="1204"/>
      <c r="AJ23" s="1206"/>
      <c r="AK23" s="1204"/>
      <c r="AL23" s="1207"/>
    </row>
    <row r="24" spans="1:38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1201"/>
      <c r="AH24" s="1171"/>
      <c r="AI24" s="1204"/>
      <c r="AJ24" s="1206"/>
      <c r="AK24" s="1204"/>
      <c r="AL24" s="1207"/>
    </row>
    <row r="25" spans="1:38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1201"/>
      <c r="AH25" s="1171"/>
      <c r="AI25" s="1204"/>
      <c r="AJ25" s="1206"/>
      <c r="AK25" s="1204"/>
      <c r="AL25" s="1207"/>
    </row>
    <row r="26" spans="1:38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1201"/>
      <c r="AH26" s="1171"/>
      <c r="AI26" s="1204"/>
      <c r="AJ26" s="1206"/>
      <c r="AK26" s="1204"/>
      <c r="AL26" s="1207"/>
    </row>
    <row r="27" spans="1:38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1201"/>
      <c r="AH27" s="1171"/>
      <c r="AI27" s="1204"/>
      <c r="AJ27" s="1206"/>
      <c r="AK27" s="1204"/>
      <c r="AL27" s="1207"/>
    </row>
    <row r="28" spans="1:38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1201"/>
      <c r="AH28" s="1171"/>
      <c r="AI28" s="1204"/>
      <c r="AJ28" s="1206"/>
      <c r="AK28" s="1204"/>
      <c r="AL28" s="1207"/>
    </row>
    <row r="29" spans="1:38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1171"/>
      <c r="AI29" s="1204"/>
      <c r="AJ29" s="1206"/>
      <c r="AK29" s="1204"/>
      <c r="AL29" s="1207"/>
    </row>
    <row r="30" spans="1:38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1171"/>
      <c r="AI30" s="1205"/>
      <c r="AJ30" s="1206"/>
      <c r="AK30" s="1204"/>
      <c r="AL30" s="1207"/>
    </row>
    <row r="31" spans="1:38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1171"/>
      <c r="AI31" s="1205"/>
      <c r="AJ31" s="1206"/>
      <c r="AK31" s="1204"/>
      <c r="AL31" s="1207"/>
    </row>
    <row r="32" spans="1:38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1171"/>
      <c r="AI32" s="1204"/>
      <c r="AJ32" s="1206"/>
      <c r="AK32" s="1204"/>
      <c r="AL32" s="1207"/>
    </row>
    <row r="33" spans="1:38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1171"/>
      <c r="AI33" s="1205"/>
      <c r="AJ33" s="1206"/>
      <c r="AK33" s="1204"/>
      <c r="AL33" s="1207"/>
    </row>
    <row r="34" spans="1:38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1171"/>
      <c r="AI34" s="1204"/>
      <c r="AJ34" s="1206"/>
      <c r="AK34" s="1204"/>
      <c r="AL34" s="1207"/>
    </row>
    <row r="35" spans="1:38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1171"/>
      <c r="AI35" s="1204"/>
      <c r="AJ35" s="1206"/>
      <c r="AK35" s="1204"/>
      <c r="AL35" s="1207"/>
    </row>
    <row r="36" spans="1:38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1171"/>
      <c r="AI36" s="1204"/>
      <c r="AJ36" s="1206"/>
      <c r="AK36" s="1204"/>
      <c r="AL36" s="1207"/>
    </row>
    <row r="37" spans="1:38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 t="s">
        <v>734</v>
      </c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8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8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  <c r="AI39" s="1204"/>
      <c r="AJ39" s="1206"/>
      <c r="AK39" s="1204"/>
    </row>
    <row r="40" spans="1:38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8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8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8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8" x14ac:dyDescent="0.25">
      <c r="A44" s="872">
        <f>SUM(A3:A42)</f>
        <v>0</v>
      </c>
      <c r="B44" s="626"/>
      <c r="C44" s="949">
        <f>SUM(C3:C42)</f>
        <v>0</v>
      </c>
      <c r="D44" s="950">
        <f>SUM(D3:D42)</f>
        <v>0</v>
      </c>
      <c r="E44" s="629">
        <v>0</v>
      </c>
      <c r="F44" s="956">
        <f>SUM(F3:F42)</f>
        <v>0</v>
      </c>
      <c r="G44" s="936">
        <f>SUM(G3:G42)</f>
        <v>0</v>
      </c>
      <c r="H44" s="957">
        <f>SUM(H3:H42)</f>
        <v>0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0</v>
      </c>
      <c r="P44" s="1078" t="s">
        <v>395</v>
      </c>
      <c r="Q44" s="1045">
        <f>SUM(Q3:Q38)</f>
        <v>0</v>
      </c>
      <c r="R44" s="1078" t="s">
        <v>103</v>
      </c>
      <c r="S44" s="1045">
        <f>SUM(S3:S42)</f>
        <v>0</v>
      </c>
      <c r="T44" s="1078" t="s">
        <v>103</v>
      </c>
      <c r="U44" s="1045">
        <f>SUM(U3:U42)</f>
        <v>0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0</v>
      </c>
      <c r="AF44" s="629"/>
      <c r="AG44" s="957">
        <f>SUM(AG3:AG42)</f>
        <v>0</v>
      </c>
      <c r="AH44" s="614"/>
    </row>
    <row r="45" spans="1:38" ht="15.75" thickBot="1" x14ac:dyDescent="0.3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N3+N4+N5+N6+N7+N8+N9+N10</f>
        <v>0</v>
      </c>
      <c r="N45" s="1059"/>
      <c r="O45" s="1023">
        <v>0</v>
      </c>
      <c r="P45" s="935" t="s">
        <v>437</v>
      </c>
      <c r="Q45" s="1118">
        <f>Q3+Q4+Q5+Q6+Q7+Q8+Q9+Q11+Q11+Q10</f>
        <v>0</v>
      </c>
      <c r="R45" s="935" t="str">
        <f>P45</f>
        <v>Listopad</v>
      </c>
      <c r="S45" s="1023">
        <f>S44</f>
        <v>0</v>
      </c>
      <c r="T45" s="935" t="str">
        <f>P45</f>
        <v>Listopad</v>
      </c>
      <c r="U45" s="1023">
        <v>0</v>
      </c>
      <c r="V45" s="935" t="str">
        <f>P45</f>
        <v>Listopad</v>
      </c>
      <c r="W45" s="1024">
        <v>0</v>
      </c>
      <c r="X45" s="935" t="str">
        <f>P45</f>
        <v>Listopad</v>
      </c>
      <c r="Y45" s="1024">
        <v>0</v>
      </c>
      <c r="Z45" s="935" t="str">
        <f>P45</f>
        <v>Listopad</v>
      </c>
      <c r="AA45" s="1024">
        <v>0</v>
      </c>
      <c r="AB45" s="935" t="str">
        <f>P45</f>
        <v>Listopad</v>
      </c>
      <c r="AC45" s="1024">
        <v>0</v>
      </c>
      <c r="AD45" s="935" t="str">
        <f>P45</f>
        <v>Listopad</v>
      </c>
      <c r="AE45" s="951"/>
      <c r="AF45" s="635"/>
      <c r="AG45" s="935"/>
      <c r="AH45" s="614"/>
    </row>
    <row r="46" spans="1:38" ht="16.5" thickTop="1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>
        <f>O44-O45</f>
        <v>0</v>
      </c>
      <c r="P46" s="971" t="s">
        <v>555</v>
      </c>
      <c r="Q46" s="973"/>
      <c r="R46" s="971" t="str">
        <f>P46</f>
        <v>Prosinec</v>
      </c>
      <c r="S46" s="973"/>
      <c r="T46" s="971" t="str">
        <f>P46</f>
        <v>Prosinec</v>
      </c>
      <c r="U46" s="973">
        <f>U44-U45</f>
        <v>0</v>
      </c>
      <c r="V46" s="971" t="str">
        <f>P46</f>
        <v>Prosinec</v>
      </c>
      <c r="W46" s="974">
        <f>W44-W45</f>
        <v>0</v>
      </c>
      <c r="X46" s="971" t="str">
        <f>P46</f>
        <v>Prosinec</v>
      </c>
      <c r="Y46" s="974">
        <f>Y44-Y45</f>
        <v>0</v>
      </c>
      <c r="Z46" s="971" t="str">
        <f>P46</f>
        <v>Prosinec</v>
      </c>
      <c r="AA46" s="974">
        <f>AA44-AA45</f>
        <v>0</v>
      </c>
      <c r="AB46" s="971" t="str">
        <f>P46</f>
        <v>Prosinec</v>
      </c>
      <c r="AC46" s="1022">
        <f>AC44-AC45</f>
        <v>0</v>
      </c>
      <c r="AD46" s="971" t="str">
        <f>P46</f>
        <v>Prosinec</v>
      </c>
      <c r="AE46" s="972"/>
      <c r="AF46" s="970"/>
      <c r="AG46" s="971"/>
      <c r="AH46" s="614"/>
    </row>
    <row r="47" spans="1:38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826"/>
      <c r="P47" s="610"/>
      <c r="Q47" s="1217"/>
      <c r="R47" s="1031"/>
      <c r="S47" s="1032"/>
      <c r="T47" s="610"/>
      <c r="U47" s="1212"/>
      <c r="V47" s="3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8" x14ac:dyDescent="0.25">
      <c r="Q48" s="1033"/>
      <c r="R48" s="1034"/>
      <c r="S48" s="1035"/>
      <c r="U48" s="1213"/>
      <c r="V48" s="610"/>
      <c r="X48" s="610"/>
      <c r="Y48" s="1076">
        <v>0</v>
      </c>
      <c r="Z48" s="935" t="str">
        <f>P45</f>
        <v>Listopad</v>
      </c>
      <c r="AA48" s="1024">
        <v>0</v>
      </c>
      <c r="AB48" s="935" t="str">
        <f>P45</f>
        <v>Listopad</v>
      </c>
      <c r="AC48" s="1024">
        <v>0</v>
      </c>
      <c r="AD48" s="935" t="str">
        <f>P45</f>
        <v>Listopad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>Prosinec</v>
      </c>
      <c r="AA49" s="974">
        <f>AA47-AA48</f>
        <v>0</v>
      </c>
      <c r="AB49" s="971" t="str">
        <f>P46</f>
        <v>Prosinec</v>
      </c>
      <c r="AC49" s="974">
        <f>AC47-AC48</f>
        <v>0</v>
      </c>
      <c r="AD49" s="971" t="str">
        <f>P46</f>
        <v>Prosinec</v>
      </c>
    </row>
    <row r="50" spans="17:31" ht="15.75" thickTop="1" x14ac:dyDescent="0.25">
      <c r="R50" s="1215"/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929"/>
      <c r="S51" s="1035"/>
      <c r="X51" s="610"/>
      <c r="Y51" s="1076">
        <v>0</v>
      </c>
      <c r="Z51" s="935" t="str">
        <f>P45</f>
        <v>Listopad</v>
      </c>
      <c r="AA51" s="1024">
        <v>0</v>
      </c>
      <c r="AB51" s="935" t="str">
        <f>P45</f>
        <v>Listopad</v>
      </c>
      <c r="AC51" s="1024">
        <v>0</v>
      </c>
      <c r="AD51" s="935" t="str">
        <f>P45</f>
        <v>Listopad</v>
      </c>
    </row>
    <row r="52" spans="17:31" ht="15.75" thickBot="1" x14ac:dyDescent="0.3">
      <c r="Q52" s="929"/>
      <c r="S52" s="1035"/>
      <c r="X52" s="610"/>
      <c r="Y52" s="1077">
        <f>Y50-Y51</f>
        <v>0</v>
      </c>
      <c r="Z52" s="971" t="str">
        <f>P46</f>
        <v>Prosinec</v>
      </c>
      <c r="AA52" s="974">
        <f>AA50-AA51</f>
        <v>0</v>
      </c>
      <c r="AB52" s="971" t="str">
        <f>P46</f>
        <v>Prosinec</v>
      </c>
      <c r="AC52" s="974">
        <f>AC50-AC51</f>
        <v>0</v>
      </c>
      <c r="AD52" s="971" t="str">
        <f>P46</f>
        <v>Prosinec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E43:AG43"/>
    <mergeCell ref="S43:T43"/>
    <mergeCell ref="U43:V43"/>
    <mergeCell ref="W43:X43"/>
    <mergeCell ref="Y43:Z43"/>
    <mergeCell ref="AA43:AB43"/>
    <mergeCell ref="AC43:AD43"/>
    <mergeCell ref="A43:C43"/>
    <mergeCell ref="G43:H43"/>
    <mergeCell ref="I43:K43"/>
    <mergeCell ref="L43:N43"/>
    <mergeCell ref="O43:P43"/>
    <mergeCell ref="Q43:R43"/>
    <mergeCell ref="AE1:AG1"/>
    <mergeCell ref="AH1:AI1"/>
    <mergeCell ref="AJ1:AK1"/>
    <mergeCell ref="AH4:AI4"/>
    <mergeCell ref="AJ4:AK4"/>
    <mergeCell ref="AH9:AI9"/>
    <mergeCell ref="A1:F1"/>
    <mergeCell ref="G1:H1"/>
    <mergeCell ref="I1:K1"/>
    <mergeCell ref="L1:N1"/>
    <mergeCell ref="O1:P1"/>
    <mergeCell ref="Q1:AD1"/>
  </mergeCells>
  <pageMargins left="0.7" right="0.7" top="0.75" bottom="0.75" header="0.3" footer="0.3"/>
  <pageSetup scale="0" firstPageNumber="0" fitToWidth="0" fitToHeight="0" orientation="portrait" horizontalDpi="0" verticalDpi="0" copies="0"/>
  <tableParts count="1">
    <tablePart r:id="rId1"/>
  </tableParts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65BD78-B1F8-41F6-B56D-40EA580E54C9}">
  <dimension ref="A2:V52"/>
  <sheetViews>
    <sheetView zoomScaleNormal="60" zoomScaleSheetLayoutView="100" workbookViewId="0">
      <selection activeCell="S30" sqref="S30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2" spans="1:22" ht="15.75" thickBot="1" x14ac:dyDescent="0.3">
      <c r="A2" s="650" t="s">
        <v>0</v>
      </c>
      <c r="B2" s="650" t="s">
        <v>1</v>
      </c>
      <c r="C2" s="650" t="s">
        <v>127</v>
      </c>
      <c r="D2" s="650" t="s">
        <v>128</v>
      </c>
      <c r="E2" s="650" t="s">
        <v>286</v>
      </c>
      <c r="F2" s="650" t="s">
        <v>317</v>
      </c>
      <c r="G2" s="650" t="s">
        <v>285</v>
      </c>
      <c r="H2" s="650" t="s">
        <v>4</v>
      </c>
      <c r="I2" s="650" t="s">
        <v>5</v>
      </c>
      <c r="J2" s="650" t="s">
        <v>6</v>
      </c>
      <c r="K2" s="650" t="s">
        <v>7</v>
      </c>
      <c r="L2" s="650" t="s">
        <v>265</v>
      </c>
      <c r="M2" s="650" t="s">
        <v>8</v>
      </c>
      <c r="N2" s="650" t="s">
        <v>129</v>
      </c>
      <c r="O2" s="650" t="s">
        <v>9</v>
      </c>
      <c r="P2" s="650" t="s">
        <v>155</v>
      </c>
      <c r="Q2" s="650" t="s">
        <v>10</v>
      </c>
      <c r="R2" s="650" t="s">
        <v>11</v>
      </c>
      <c r="S2" s="650" t="s">
        <v>12</v>
      </c>
      <c r="T2" s="650" t="s">
        <v>13</v>
      </c>
      <c r="U2" s="650" t="s">
        <v>14</v>
      </c>
    </row>
    <row r="3" spans="1:22" ht="15.75" thickBot="1" x14ac:dyDescent="0.3">
      <c r="A3" s="1080">
        <v>45383</v>
      </c>
      <c r="B3" s="656" t="str">
        <f t="shared" ref="B3:B36" si="0">CHOOSE(WEEKDAY(V3),"Po","Út","St","Čt","Pá","So","Ne")</f>
        <v>Po</v>
      </c>
      <c r="C3" s="724">
        <f t="shared" ref="C3:C36" si="1">G3-E3-F3</f>
        <v>0</v>
      </c>
      <c r="D3" s="1079">
        <f t="shared" ref="D3:D36" si="2">(N3*C3)*24</f>
        <v>0</v>
      </c>
      <c r="E3" s="724"/>
      <c r="F3" s="724"/>
      <c r="G3" s="724"/>
      <c r="H3" s="654"/>
      <c r="I3" s="657"/>
      <c r="J3" s="654"/>
      <c r="K3" s="656"/>
      <c r="L3" s="654"/>
      <c r="M3" s="657"/>
      <c r="N3" s="713"/>
      <c r="O3" s="1081">
        <f>(O5+O7)</f>
        <v>0</v>
      </c>
      <c r="P3" s="656">
        <f>P5+P7</f>
        <v>0</v>
      </c>
      <c r="Q3" s="853">
        <f>'03hod24'!Q6</f>
        <v>0</v>
      </c>
      <c r="R3" s="644"/>
      <c r="S3" s="644" t="str">
        <f>'03hod24'!S6</f>
        <v xml:space="preserve">Výplata za Březen </v>
      </c>
      <c r="T3" s="875" t="str">
        <f>'03hod24'!T6</f>
        <v>xx.04.2023</v>
      </c>
      <c r="U3" s="722">
        <f>T8*20</f>
        <v>0</v>
      </c>
      <c r="V3" s="643">
        <f t="shared" ref="V3:V36" si="3">WEEKDAY(A3,2)</f>
        <v>1</v>
      </c>
    </row>
    <row r="4" spans="1:22" x14ac:dyDescent="0.25">
      <c r="A4" s="1080">
        <v>45384</v>
      </c>
      <c r="B4" s="657" t="str">
        <f t="shared" si="0"/>
        <v>Út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654" t="s">
        <v>19</v>
      </c>
      <c r="P4" s="657" t="s">
        <v>19</v>
      </c>
      <c r="Q4" s="738">
        <v>0</v>
      </c>
      <c r="R4" s="611" t="s">
        <v>48</v>
      </c>
      <c r="S4" s="611" t="s">
        <v>48</v>
      </c>
      <c r="T4" s="874"/>
      <c r="U4" s="1178"/>
      <c r="V4" s="643">
        <f t="shared" si="3"/>
        <v>2</v>
      </c>
    </row>
    <row r="5" spans="1:22" x14ac:dyDescent="0.25">
      <c r="A5" s="1080">
        <v>45385</v>
      </c>
      <c r="B5" s="657" t="str">
        <f t="shared" si="0"/>
        <v>St</v>
      </c>
      <c r="C5" s="724">
        <f t="shared" si="1"/>
        <v>0</v>
      </c>
      <c r="D5" s="1079">
        <f t="shared" si="2"/>
        <v>0</v>
      </c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1082">
        <f>O41*24</f>
        <v>0</v>
      </c>
      <c r="P5" s="657">
        <v>0</v>
      </c>
      <c r="Q5" s="738">
        <v>0</v>
      </c>
      <c r="R5" s="611" t="s">
        <v>17</v>
      </c>
      <c r="S5" s="611" t="s">
        <v>158</v>
      </c>
      <c r="T5" s="646"/>
      <c r="U5" s="1178"/>
      <c r="V5" s="643">
        <f t="shared" si="3"/>
        <v>3</v>
      </c>
    </row>
    <row r="6" spans="1:22" x14ac:dyDescent="0.25">
      <c r="A6" s="1080">
        <v>45386</v>
      </c>
      <c r="B6" s="657" t="str">
        <f t="shared" si="0"/>
        <v>Čt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654" t="s">
        <v>14</v>
      </c>
      <c r="P6" s="657" t="s">
        <v>14</v>
      </c>
      <c r="Q6" s="738">
        <v>0</v>
      </c>
      <c r="R6" s="611" t="s">
        <v>17</v>
      </c>
      <c r="S6" s="611" t="s">
        <v>595</v>
      </c>
      <c r="T6" s="646" t="s">
        <v>599</v>
      </c>
      <c r="U6" s="1178"/>
      <c r="V6" s="643">
        <f t="shared" si="3"/>
        <v>4</v>
      </c>
    </row>
    <row r="7" spans="1:22" ht="15.75" thickBot="1" x14ac:dyDescent="0.3">
      <c r="A7" s="1080">
        <v>45387</v>
      </c>
      <c r="B7" s="657" t="str">
        <f t="shared" si="0"/>
        <v>Pá</v>
      </c>
      <c r="C7" s="724">
        <f t="shared" si="1"/>
        <v>0</v>
      </c>
      <c r="D7" s="1079">
        <f t="shared" si="2"/>
        <v>0</v>
      </c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1082">
        <f>O42*24</f>
        <v>0</v>
      </c>
      <c r="P7" s="657">
        <v>0</v>
      </c>
      <c r="Q7" s="712" t="s">
        <v>134</v>
      </c>
      <c r="R7" s="647"/>
      <c r="S7" s="647" t="s">
        <v>48</v>
      </c>
      <c r="T7" s="648"/>
      <c r="U7" s="1178"/>
      <c r="V7" s="643">
        <f t="shared" si="3"/>
        <v>5</v>
      </c>
    </row>
    <row r="8" spans="1:22" x14ac:dyDescent="0.25">
      <c r="A8" s="1080">
        <v>45388</v>
      </c>
      <c r="B8" s="657" t="str">
        <f t="shared" si="0"/>
        <v>So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20</v>
      </c>
      <c r="P8" s="1026" t="s">
        <v>20</v>
      </c>
      <c r="Q8" s="721">
        <f>Q4+Q5</f>
        <v>0</v>
      </c>
      <c r="R8" s="1178"/>
      <c r="S8" s="1178"/>
      <c r="T8" s="1178"/>
      <c r="U8" s="1178"/>
      <c r="V8" s="643">
        <f t="shared" si="3"/>
        <v>6</v>
      </c>
    </row>
    <row r="9" spans="1:22" x14ac:dyDescent="0.25">
      <c r="A9" s="1080">
        <v>45389</v>
      </c>
      <c r="B9" s="657" t="str">
        <f t="shared" si="0"/>
        <v>Ne</v>
      </c>
      <c r="C9" s="724">
        <f t="shared" si="1"/>
        <v>0</v>
      </c>
      <c r="D9" s="1079">
        <f t="shared" si="2"/>
        <v>0</v>
      </c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509</v>
      </c>
      <c r="P9" s="1026" t="s">
        <v>509</v>
      </c>
      <c r="Q9" s="657" t="s">
        <v>229</v>
      </c>
      <c r="R9" s="1178"/>
      <c r="S9" s="1178"/>
      <c r="T9" s="1178"/>
      <c r="U9" s="1178"/>
      <c r="V9" s="643">
        <f t="shared" si="3"/>
        <v>7</v>
      </c>
    </row>
    <row r="10" spans="1:22" x14ac:dyDescent="0.25">
      <c r="A10" s="1080">
        <v>45390</v>
      </c>
      <c r="B10" s="657" t="str">
        <f t="shared" si="0"/>
        <v>Po</v>
      </c>
      <c r="C10" s="724">
        <f t="shared" si="1"/>
        <v>0</v>
      </c>
      <c r="D10" s="1079">
        <f t="shared" si="2"/>
        <v>0</v>
      </c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654" t="s">
        <v>23</v>
      </c>
      <c r="P10" s="1026" t="s">
        <v>23</v>
      </c>
      <c r="Q10" s="657">
        <f>SUM(Q3:Q5)</f>
        <v>0</v>
      </c>
      <c r="R10" s="1178"/>
      <c r="S10" s="1178"/>
      <c r="T10" s="1178"/>
      <c r="U10" s="1178"/>
      <c r="V10" s="643">
        <f t="shared" si="3"/>
        <v>1</v>
      </c>
    </row>
    <row r="11" spans="1:22" x14ac:dyDescent="0.25">
      <c r="A11" s="1080">
        <v>45391</v>
      </c>
      <c r="B11" s="657" t="str">
        <f t="shared" si="0"/>
        <v>Út</v>
      </c>
      <c r="C11" s="724">
        <f t="shared" si="1"/>
        <v>0</v>
      </c>
      <c r="D11" s="1079">
        <f t="shared" si="2"/>
        <v>0</v>
      </c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1083">
        <f>(O3*380)+U3</f>
        <v>0</v>
      </c>
      <c r="P11" s="1088">
        <f>SUM(P3*380)</f>
        <v>0</v>
      </c>
      <c r="Q11" s="719"/>
      <c r="R11" s="1178"/>
      <c r="S11" s="1178"/>
      <c r="T11" s="1178"/>
      <c r="U11" s="1178"/>
      <c r="V11" s="643">
        <f t="shared" si="3"/>
        <v>2</v>
      </c>
    </row>
    <row r="12" spans="1:22" x14ac:dyDescent="0.25">
      <c r="A12" s="1080">
        <v>45392</v>
      </c>
      <c r="B12" s="657" t="str">
        <f t="shared" si="0"/>
        <v>St</v>
      </c>
      <c r="C12" s="724">
        <f t="shared" si="1"/>
        <v>0</v>
      </c>
      <c r="D12" s="1079">
        <f t="shared" si="2"/>
        <v>0</v>
      </c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654" t="s">
        <v>361</v>
      </c>
      <c r="P12" s="1026" t="s">
        <v>361</v>
      </c>
      <c r="Q12" s="1178"/>
      <c r="R12" s="1178"/>
      <c r="S12" s="1178"/>
      <c r="T12" s="1178"/>
      <c r="U12" s="1178"/>
      <c r="V12" s="643">
        <f t="shared" si="3"/>
        <v>3</v>
      </c>
    </row>
    <row r="13" spans="1:22" x14ac:dyDescent="0.25">
      <c r="A13" s="1080">
        <v>45393</v>
      </c>
      <c r="B13" s="657" t="str">
        <f t="shared" si="0"/>
        <v>Čt</v>
      </c>
      <c r="C13" s="724">
        <f t="shared" si="1"/>
        <v>0</v>
      </c>
      <c r="D13" s="1079">
        <f t="shared" si="2"/>
        <v>0</v>
      </c>
      <c r="E13" s="724"/>
      <c r="F13" s="724"/>
      <c r="G13" s="724"/>
      <c r="H13" s="654"/>
      <c r="I13" s="657"/>
      <c r="J13" s="654"/>
      <c r="K13" s="657"/>
      <c r="L13" s="654"/>
      <c r="M13" s="657"/>
      <c r="N13" s="714"/>
      <c r="O13" s="1083">
        <f>(O11+O21+O19-O23)-O15-P25</f>
        <v>-7702.6563000000015</v>
      </c>
      <c r="P13" s="1088">
        <f>(P11+P19+P21-P23)-P15-P25</f>
        <v>0</v>
      </c>
      <c r="Q13" s="1178"/>
      <c r="R13" s="1178"/>
      <c r="S13" s="1178"/>
      <c r="T13" s="1178"/>
      <c r="U13" s="1178"/>
      <c r="V13" s="643">
        <f t="shared" si="3"/>
        <v>4</v>
      </c>
    </row>
    <row r="14" spans="1:22" x14ac:dyDescent="0.25">
      <c r="A14" s="1080">
        <v>45394</v>
      </c>
      <c r="B14" s="657" t="str">
        <f t="shared" si="0"/>
        <v>Pá</v>
      </c>
      <c r="C14" s="724">
        <f t="shared" si="1"/>
        <v>0</v>
      </c>
      <c r="D14" s="1079">
        <f t="shared" si="2"/>
        <v>0</v>
      </c>
      <c r="E14" s="724"/>
      <c r="F14" s="724"/>
      <c r="G14" s="724"/>
      <c r="H14" s="654"/>
      <c r="I14" s="657"/>
      <c r="J14" s="654"/>
      <c r="K14" s="657"/>
      <c r="L14" s="654"/>
      <c r="M14" s="657"/>
      <c r="N14" s="714"/>
      <c r="O14" s="654" t="s">
        <v>26</v>
      </c>
      <c r="P14" s="1088" t="s">
        <v>26</v>
      </c>
      <c r="Q14" s="1178"/>
      <c r="R14" s="1178"/>
      <c r="S14" s="1178"/>
      <c r="T14" s="1178"/>
      <c r="U14" s="1178"/>
      <c r="V14" s="643">
        <f t="shared" si="3"/>
        <v>5</v>
      </c>
    </row>
    <row r="15" spans="1:22" x14ac:dyDescent="0.25">
      <c r="A15" s="1080">
        <v>45395</v>
      </c>
      <c r="B15" s="657" t="str">
        <f t="shared" si="0"/>
        <v>So</v>
      </c>
      <c r="C15" s="724">
        <f t="shared" si="1"/>
        <v>0</v>
      </c>
      <c r="D15" s="1079">
        <f t="shared" si="2"/>
        <v>0</v>
      </c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1083">
        <f>(O17*25.53)</f>
        <v>7702.6563000000015</v>
      </c>
      <c r="P15" s="1088">
        <f>(P17*25.53)</f>
        <v>0</v>
      </c>
      <c r="Q15" s="923" t="s">
        <v>458</v>
      </c>
      <c r="R15" s="1004">
        <f>P15+P23-P19</f>
        <v>0</v>
      </c>
      <c r="S15" s="1007"/>
      <c r="T15" s="923" t="s">
        <v>462</v>
      </c>
      <c r="U15" s="1004">
        <f>P15+P23</f>
        <v>0</v>
      </c>
      <c r="V15" s="643">
        <f t="shared" si="3"/>
        <v>6</v>
      </c>
    </row>
    <row r="16" spans="1:22" x14ac:dyDescent="0.25">
      <c r="A16" s="1080">
        <v>45396</v>
      </c>
      <c r="B16" s="657" t="str">
        <f t="shared" si="0"/>
        <v>Ne</v>
      </c>
      <c r="C16" s="724">
        <f t="shared" si="1"/>
        <v>0</v>
      </c>
      <c r="D16" s="1079">
        <f t="shared" si="2"/>
        <v>0</v>
      </c>
      <c r="E16" s="724"/>
      <c r="F16" s="724"/>
      <c r="G16" s="724"/>
      <c r="H16" s="654"/>
      <c r="I16" s="657"/>
      <c r="J16" s="654"/>
      <c r="K16" s="657"/>
      <c r="L16" s="654"/>
      <c r="M16" s="657"/>
      <c r="N16" s="714"/>
      <c r="O16" s="654" t="s">
        <v>29</v>
      </c>
      <c r="P16" s="1026" t="s">
        <v>29</v>
      </c>
      <c r="Q16" s="1179" t="s">
        <v>459</v>
      </c>
      <c r="R16" s="1180">
        <f>P11</f>
        <v>0</v>
      </c>
      <c r="S16" s="1008"/>
      <c r="T16" s="1179" t="s">
        <v>463</v>
      </c>
      <c r="U16" s="1180">
        <f>P11+P19+P21+O29</f>
        <v>0</v>
      </c>
      <c r="V16" s="643">
        <f t="shared" si="3"/>
        <v>7</v>
      </c>
    </row>
    <row r="17" spans="1:22" x14ac:dyDescent="0.25">
      <c r="A17" s="1080">
        <v>45397</v>
      </c>
      <c r="B17" s="657" t="str">
        <f t="shared" si="0"/>
        <v>Po</v>
      </c>
      <c r="C17" s="724">
        <f t="shared" si="1"/>
        <v>0</v>
      </c>
      <c r="D17" s="1079">
        <f t="shared" si="2"/>
        <v>0</v>
      </c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1154">
        <f>'02cash'!O44</f>
        <v>301.71000000000004</v>
      </c>
      <c r="P17" s="1089">
        <v>0</v>
      </c>
      <c r="Q17" s="1179"/>
      <c r="R17" s="1181">
        <f>R16-R15</f>
        <v>0</v>
      </c>
      <c r="S17" s="1008"/>
      <c r="T17" s="1179" t="s">
        <v>513</v>
      </c>
      <c r="U17" s="1180">
        <f>U16-U15</f>
        <v>0</v>
      </c>
      <c r="V17" s="643">
        <f t="shared" si="3"/>
        <v>1</v>
      </c>
    </row>
    <row r="18" spans="1:22" x14ac:dyDescent="0.25">
      <c r="A18" s="1080">
        <v>45398</v>
      </c>
      <c r="B18" s="657" t="str">
        <f t="shared" si="0"/>
        <v>Út</v>
      </c>
      <c r="C18" s="724">
        <f t="shared" si="1"/>
        <v>0</v>
      </c>
      <c r="D18" s="1079">
        <f t="shared" si="2"/>
        <v>0</v>
      </c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654" t="s">
        <v>31</v>
      </c>
      <c r="P18" s="1026" t="s">
        <v>31</v>
      </c>
      <c r="Q18" s="1180">
        <f>R17-Q6-Q8</f>
        <v>0</v>
      </c>
      <c r="R18" s="1179"/>
      <c r="S18" s="1009"/>
      <c r="T18" s="1179" t="s">
        <v>514</v>
      </c>
      <c r="U18" s="1180">
        <f>U17-Q6-Q8</f>
        <v>0</v>
      </c>
      <c r="V18" s="643">
        <f t="shared" si="3"/>
        <v>2</v>
      </c>
    </row>
    <row r="19" spans="1:22" x14ac:dyDescent="0.25">
      <c r="A19" s="1080">
        <v>45399</v>
      </c>
      <c r="B19" s="657" t="str">
        <f t="shared" si="0"/>
        <v>St</v>
      </c>
      <c r="C19" s="724">
        <f t="shared" si="1"/>
        <v>0</v>
      </c>
      <c r="D19" s="1079">
        <f t="shared" si="2"/>
        <v>0</v>
      </c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/>
      <c r="P19" s="1088"/>
      <c r="Q19" s="1179"/>
      <c r="R19" s="1179"/>
      <c r="S19" s="1008"/>
      <c r="T19" s="1179"/>
      <c r="U19" s="1179"/>
      <c r="V19" s="643">
        <f t="shared" si="3"/>
        <v>3</v>
      </c>
    </row>
    <row r="20" spans="1:22" x14ac:dyDescent="0.25">
      <c r="A20" s="1080">
        <v>45400</v>
      </c>
      <c r="B20" s="657" t="str">
        <f t="shared" si="0"/>
        <v>Čt</v>
      </c>
      <c r="C20" s="724">
        <f t="shared" si="1"/>
        <v>0</v>
      </c>
      <c r="D20" s="1079">
        <f t="shared" si="2"/>
        <v>0</v>
      </c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 t="s">
        <v>33</v>
      </c>
      <c r="P20" s="1088" t="s">
        <v>33</v>
      </c>
      <c r="Q20" s="1179"/>
      <c r="R20" s="1179"/>
      <c r="S20" s="1008"/>
      <c r="T20" s="1179"/>
      <c r="U20" s="1179"/>
      <c r="V20" s="643">
        <f t="shared" si="3"/>
        <v>4</v>
      </c>
    </row>
    <row r="21" spans="1:22" x14ac:dyDescent="0.25">
      <c r="A21" s="1080">
        <v>45401</v>
      </c>
      <c r="B21" s="657" t="str">
        <f t="shared" si="0"/>
        <v>Pá</v>
      </c>
      <c r="C21" s="724">
        <f t="shared" si="1"/>
        <v>0</v>
      </c>
      <c r="D21" s="1079">
        <f t="shared" si="2"/>
        <v>0</v>
      </c>
      <c r="E21" s="724"/>
      <c r="F21" s="724"/>
      <c r="G21" s="724"/>
      <c r="H21" s="654"/>
      <c r="I21" s="657"/>
      <c r="J21" s="654"/>
      <c r="K21" s="657"/>
      <c r="L21" s="654"/>
      <c r="M21" s="657"/>
      <c r="N21" s="714"/>
      <c r="O21" s="1083">
        <v>0</v>
      </c>
      <c r="P21" s="1088">
        <v>0</v>
      </c>
      <c r="Q21" s="1179"/>
      <c r="R21" s="1179"/>
      <c r="S21" s="1008"/>
      <c r="T21" s="1179"/>
      <c r="U21" s="1179"/>
      <c r="V21" s="643">
        <f t="shared" si="3"/>
        <v>5</v>
      </c>
    </row>
    <row r="22" spans="1:22" x14ac:dyDescent="0.25">
      <c r="A22" s="1080">
        <v>45402</v>
      </c>
      <c r="B22" s="657" t="str">
        <f t="shared" si="0"/>
        <v>So</v>
      </c>
      <c r="C22" s="724">
        <f t="shared" si="1"/>
        <v>0</v>
      </c>
      <c r="D22" s="1079">
        <f t="shared" si="2"/>
        <v>0</v>
      </c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 t="s">
        <v>34</v>
      </c>
      <c r="P22" s="1088" t="s">
        <v>34</v>
      </c>
      <c r="Q22" s="1179"/>
      <c r="R22" s="1179"/>
      <c r="S22" s="1008"/>
      <c r="T22" s="1179"/>
      <c r="U22" s="1179"/>
      <c r="V22" s="643">
        <f t="shared" si="3"/>
        <v>6</v>
      </c>
    </row>
    <row r="23" spans="1:22" x14ac:dyDescent="0.25">
      <c r="A23" s="1080">
        <v>45403</v>
      </c>
      <c r="B23" s="657" t="str">
        <f t="shared" si="0"/>
        <v>Ne</v>
      </c>
      <c r="C23" s="724">
        <f t="shared" si="1"/>
        <v>0</v>
      </c>
      <c r="D23" s="1079">
        <f t="shared" si="2"/>
        <v>0</v>
      </c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3">
        <v>0</v>
      </c>
      <c r="P23" s="1088">
        <v>0</v>
      </c>
      <c r="Q23" s="1179"/>
      <c r="R23" s="1017"/>
      <c r="S23" s="1178"/>
      <c r="T23" s="1179"/>
      <c r="U23" s="1179"/>
      <c r="V23" s="643">
        <f t="shared" si="3"/>
        <v>7</v>
      </c>
    </row>
    <row r="24" spans="1:22" x14ac:dyDescent="0.25">
      <c r="A24" s="1080">
        <v>45404</v>
      </c>
      <c r="B24" s="657" t="str">
        <f t="shared" si="0"/>
        <v>Po</v>
      </c>
      <c r="C24" s="724">
        <f t="shared" si="1"/>
        <v>0</v>
      </c>
      <c r="D24" s="1079">
        <f t="shared" si="2"/>
        <v>0</v>
      </c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5" t="s">
        <v>364</v>
      </c>
      <c r="P24" s="1090" t="s">
        <v>363</v>
      </c>
      <c r="Q24" s="1182">
        <f>Q18-P25</f>
        <v>0</v>
      </c>
      <c r="R24" s="1018"/>
      <c r="S24" s="1182">
        <f>U18-O27</f>
        <v>0</v>
      </c>
      <c r="T24" s="1179"/>
      <c r="U24" s="1179"/>
      <c r="V24" s="643">
        <f t="shared" si="3"/>
        <v>1</v>
      </c>
    </row>
    <row r="25" spans="1:22" x14ac:dyDescent="0.25">
      <c r="A25" s="1080">
        <v>45405</v>
      </c>
      <c r="B25" s="657" t="str">
        <f t="shared" si="0"/>
        <v>Út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1086">
        <f>P13-Q6</f>
        <v>0</v>
      </c>
      <c r="P25" s="1088">
        <f>O27-O29</f>
        <v>0</v>
      </c>
      <c r="Q25" s="1020"/>
      <c r="R25" s="1019"/>
      <c r="S25" s="1006"/>
      <c r="T25" s="1006"/>
      <c r="U25" s="1006"/>
      <c r="V25" s="643">
        <f t="shared" si="3"/>
        <v>2</v>
      </c>
    </row>
    <row r="26" spans="1:22" x14ac:dyDescent="0.25">
      <c r="A26" s="1080">
        <v>45406</v>
      </c>
      <c r="B26" s="657" t="str">
        <f t="shared" si="0"/>
        <v>St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654" t="s">
        <v>372</v>
      </c>
      <c r="P26" s="1026"/>
      <c r="Q26" s="1178"/>
      <c r="R26" s="1178"/>
      <c r="S26" s="1178"/>
      <c r="T26" s="1178"/>
      <c r="U26" s="1178"/>
      <c r="V26" s="643">
        <f t="shared" si="3"/>
        <v>3</v>
      </c>
    </row>
    <row r="27" spans="1:22" x14ac:dyDescent="0.25">
      <c r="A27" s="1080">
        <v>45407</v>
      </c>
      <c r="B27" s="657" t="str">
        <f t="shared" si="0"/>
        <v>Čt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1083">
        <v>0</v>
      </c>
      <c r="P27" s="1088"/>
      <c r="Q27" s="1178"/>
      <c r="R27" s="1178"/>
      <c r="S27" s="1178"/>
      <c r="T27" s="1178"/>
      <c r="U27" s="1178"/>
      <c r="V27" s="643">
        <f t="shared" si="3"/>
        <v>4</v>
      </c>
    </row>
    <row r="28" spans="1:22" x14ac:dyDescent="0.25">
      <c r="A28" s="1080">
        <v>45408</v>
      </c>
      <c r="B28" s="657" t="str">
        <f t="shared" si="0"/>
        <v>Pá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654" t="s">
        <v>373</v>
      </c>
      <c r="P28" s="1026"/>
      <c r="Q28" s="1178"/>
      <c r="R28" s="1178"/>
      <c r="S28" s="1178"/>
      <c r="T28" s="1178"/>
      <c r="U28" s="1178"/>
      <c r="V28" s="643">
        <f t="shared" si="3"/>
        <v>5</v>
      </c>
    </row>
    <row r="29" spans="1:22" x14ac:dyDescent="0.25">
      <c r="A29" s="1080">
        <v>45409</v>
      </c>
      <c r="B29" s="657" t="str">
        <f t="shared" si="0"/>
        <v>So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>
        <f>'03hod24'!O27</f>
        <v>0</v>
      </c>
      <c r="P29" s="1026"/>
      <c r="Q29" s="1178"/>
      <c r="R29" s="1178"/>
      <c r="S29" s="1178"/>
      <c r="T29" s="1178"/>
      <c r="U29" s="1178"/>
      <c r="V29" s="643">
        <f t="shared" si="3"/>
        <v>6</v>
      </c>
    </row>
    <row r="30" spans="1:22" x14ac:dyDescent="0.25">
      <c r="A30" s="1080">
        <v>45410</v>
      </c>
      <c r="B30" s="657" t="str">
        <f t="shared" si="0"/>
        <v>Ne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1083"/>
      <c r="P30" s="1083"/>
      <c r="Q30" s="1178"/>
      <c r="R30" s="1178"/>
      <c r="S30" s="1178"/>
      <c r="T30" s="1178"/>
      <c r="U30" s="1178"/>
      <c r="V30" s="643">
        <f t="shared" si="3"/>
        <v>7</v>
      </c>
    </row>
    <row r="31" spans="1:22" x14ac:dyDescent="0.25">
      <c r="A31" s="1080">
        <v>45411</v>
      </c>
      <c r="B31" s="657" t="str">
        <f t="shared" si="0"/>
        <v>Po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918"/>
      <c r="P31" s="1091"/>
      <c r="Q31" s="1178"/>
      <c r="R31" s="1178"/>
      <c r="S31" s="1178"/>
      <c r="T31" s="1178"/>
      <c r="U31" s="1178"/>
      <c r="V31" s="643">
        <f t="shared" si="3"/>
        <v>1</v>
      </c>
    </row>
    <row r="32" spans="1:22" x14ac:dyDescent="0.25">
      <c r="A32" s="1080">
        <v>45412</v>
      </c>
      <c r="B32" s="657" t="str">
        <f t="shared" si="0"/>
        <v>Út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1178"/>
      <c r="R32" s="1178"/>
      <c r="S32" s="1178"/>
      <c r="T32" s="1178"/>
      <c r="U32" s="1178"/>
      <c r="V32" s="643">
        <f t="shared" si="3"/>
        <v>2</v>
      </c>
    </row>
    <row r="33" spans="1:22" x14ac:dyDescent="0.25">
      <c r="A33" s="1080">
        <v>45413</v>
      </c>
      <c r="B33" s="657" t="str">
        <f t="shared" si="0"/>
        <v>St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1178"/>
      <c r="R33" s="1178"/>
      <c r="S33" s="1178"/>
      <c r="T33" s="1178"/>
      <c r="U33" s="1178"/>
      <c r="V33" s="643">
        <f t="shared" si="3"/>
        <v>3</v>
      </c>
    </row>
    <row r="34" spans="1:22" x14ac:dyDescent="0.25">
      <c r="A34" s="1080">
        <v>45414</v>
      </c>
      <c r="B34" s="657" t="str">
        <f t="shared" si="0"/>
        <v>Čt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1178"/>
      <c r="R34" s="1178"/>
      <c r="S34" s="1178"/>
      <c r="T34" s="1178"/>
      <c r="U34" s="1178"/>
      <c r="V34" s="643">
        <f t="shared" si="3"/>
        <v>4</v>
      </c>
    </row>
    <row r="35" spans="1:22" x14ac:dyDescent="0.25">
      <c r="A35" s="1080">
        <v>45415</v>
      </c>
      <c r="B35" s="657" t="str">
        <f t="shared" si="0"/>
        <v>Pá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7"/>
      <c r="L35" s="654"/>
      <c r="M35" s="657"/>
      <c r="N35" s="714"/>
      <c r="O35" s="654"/>
      <c r="P35" s="1026"/>
      <c r="Q35" s="1178"/>
      <c r="R35" s="1178"/>
      <c r="S35" s="1178"/>
      <c r="T35" s="1178"/>
      <c r="U35" s="1178"/>
      <c r="V35" s="643">
        <f t="shared" si="3"/>
        <v>5</v>
      </c>
    </row>
    <row r="36" spans="1:22" ht="15.75" thickBot="1" x14ac:dyDescent="0.3">
      <c r="A36" s="1080">
        <v>45416</v>
      </c>
      <c r="B36" s="658" t="str">
        <f t="shared" si="0"/>
        <v>So</v>
      </c>
      <c r="C36" s="724">
        <f t="shared" si="1"/>
        <v>0</v>
      </c>
      <c r="D36" s="1079">
        <f t="shared" si="2"/>
        <v>0</v>
      </c>
      <c r="E36" s="724"/>
      <c r="F36" s="724"/>
      <c r="G36" s="724"/>
      <c r="H36" s="654"/>
      <c r="I36" s="657"/>
      <c r="J36" s="654"/>
      <c r="K36" s="658"/>
      <c r="L36" s="654"/>
      <c r="M36" s="658"/>
      <c r="N36" s="1087"/>
      <c r="O36" s="655"/>
      <c r="P36" s="1027"/>
      <c r="Q36" s="1178"/>
      <c r="R36" s="1178"/>
      <c r="S36" s="1178"/>
      <c r="T36" s="1178"/>
      <c r="U36" s="1178"/>
      <c r="V36" s="643">
        <f t="shared" si="3"/>
        <v>6</v>
      </c>
    </row>
    <row r="39" spans="1:22" x14ac:dyDescent="0.25">
      <c r="E39" s="731"/>
      <c r="F39" s="731"/>
      <c r="O39" s="731"/>
    </row>
    <row r="40" spans="1:22" x14ac:dyDescent="0.25">
      <c r="C40" s="733"/>
      <c r="E40" s="732"/>
      <c r="F40" s="732"/>
    </row>
    <row r="41" spans="1:22" x14ac:dyDescent="0.25">
      <c r="O41" s="732">
        <f>SUM(C3:C32)</f>
        <v>0</v>
      </c>
      <c r="P41" t="s">
        <v>315</v>
      </c>
    </row>
    <row r="42" spans="1:22" x14ac:dyDescent="0.25">
      <c r="O42" s="732">
        <v>0</v>
      </c>
      <c r="P42" t="s">
        <v>316</v>
      </c>
    </row>
    <row r="46" spans="1:22" x14ac:dyDescent="0.25">
      <c r="C46" s="731"/>
    </row>
    <row r="51" spans="15:15" x14ac:dyDescent="0.25">
      <c r="O51" s="731">
        <f>TIME(0,30,0)</f>
        <v>2.0833333333333332E-2</v>
      </c>
    </row>
    <row r="52" spans="15:15" x14ac:dyDescent="0.25">
      <c r="O52" s="731">
        <f>TIME(1,0,0)</f>
        <v>4.1666666666666664E-2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92D050"/>
  </sheetPr>
  <dimension ref="A1:U100"/>
  <sheetViews>
    <sheetView workbookViewId="0"/>
  </sheetViews>
  <sheetFormatPr defaultColWidth="14.42578125" defaultRowHeight="15" customHeight="1" x14ac:dyDescent="0.25"/>
  <cols>
    <col min="1" max="1" width="13.140625" customWidth="1"/>
    <col min="2" max="2" width="7" customWidth="1"/>
    <col min="3" max="3" width="7.140625" customWidth="1"/>
    <col min="4" max="4" width="7.5703125" customWidth="1"/>
    <col min="5" max="5" width="12.7109375" customWidth="1"/>
    <col min="6" max="6" width="15.5703125" customWidth="1"/>
    <col min="7" max="7" width="12.28515625" customWidth="1"/>
    <col min="8" max="8" width="17.7109375" customWidth="1"/>
    <col min="9" max="9" width="15.42578125" customWidth="1"/>
    <col min="10" max="10" width="13.5703125" customWidth="1"/>
    <col min="11" max="11" width="21.140625" customWidth="1"/>
    <col min="12" max="12" width="11.42578125" customWidth="1"/>
    <col min="13" max="13" width="21.140625" customWidth="1"/>
    <col min="14" max="14" width="21.7109375" customWidth="1"/>
    <col min="15" max="16" width="12.5703125" customWidth="1"/>
  </cols>
  <sheetData>
    <row r="1" spans="1:19" ht="18.75" x14ac:dyDescent="0.25">
      <c r="A1" s="378" t="s">
        <v>0</v>
      </c>
      <c r="B1" s="378" t="s">
        <v>1</v>
      </c>
      <c r="C1" s="378" t="s">
        <v>127</v>
      </c>
      <c r="D1" s="379" t="s">
        <v>128</v>
      </c>
      <c r="E1" s="380" t="s">
        <v>3</v>
      </c>
      <c r="F1" s="380" t="s">
        <v>4</v>
      </c>
      <c r="G1" s="380" t="s">
        <v>5</v>
      </c>
      <c r="H1" s="380" t="s">
        <v>6</v>
      </c>
      <c r="I1" s="380" t="s">
        <v>7</v>
      </c>
      <c r="J1" s="380" t="s">
        <v>5</v>
      </c>
      <c r="K1" s="381" t="s">
        <v>8</v>
      </c>
      <c r="L1" s="382" t="s">
        <v>129</v>
      </c>
      <c r="M1" s="4" t="s">
        <v>9</v>
      </c>
      <c r="N1" s="5" t="s">
        <v>10</v>
      </c>
      <c r="O1" s="6" t="s">
        <v>11</v>
      </c>
      <c r="P1" s="7" t="s">
        <v>12</v>
      </c>
      <c r="Q1" s="7" t="s">
        <v>13</v>
      </c>
      <c r="R1" s="3" t="s">
        <v>14</v>
      </c>
    </row>
    <row r="2" spans="1:19" x14ac:dyDescent="0.25">
      <c r="A2" s="383">
        <v>43922</v>
      </c>
      <c r="B2" s="384" t="str">
        <f t="shared" ref="B2:B26" si="0">CHOOSE(WEEKDAY(S2),"Po","Út","St","Čt","Pá","So","Ne")</f>
        <v>St</v>
      </c>
      <c r="C2" s="385">
        <v>11.5</v>
      </c>
      <c r="D2" s="386">
        <f t="shared" ref="D2:D32" si="1">L2*C2</f>
        <v>69</v>
      </c>
      <c r="E2" s="387" t="s">
        <v>75</v>
      </c>
      <c r="F2" s="388" t="s">
        <v>72</v>
      </c>
      <c r="G2" s="389" t="s">
        <v>73</v>
      </c>
      <c r="H2" s="390" t="s">
        <v>74</v>
      </c>
      <c r="I2" s="391" t="s">
        <v>116</v>
      </c>
      <c r="J2" s="392" t="s">
        <v>15</v>
      </c>
      <c r="K2" s="393" t="s">
        <v>16</v>
      </c>
      <c r="L2" s="394">
        <v>6</v>
      </c>
      <c r="M2" s="223">
        <f>M4+M6</f>
        <v>226</v>
      </c>
      <c r="N2" s="8">
        <v>20319</v>
      </c>
      <c r="O2" s="9" t="s">
        <v>17</v>
      </c>
      <c r="P2" s="10" t="s">
        <v>108</v>
      </c>
      <c r="Q2" s="11">
        <v>43937</v>
      </c>
      <c r="R2" s="254">
        <f>M6*20</f>
        <v>4520</v>
      </c>
      <c r="S2" s="13">
        <f t="shared" ref="S2:S26" si="2">WEEKDAY(A2,2)</f>
        <v>3</v>
      </c>
    </row>
    <row r="3" spans="1:19" x14ac:dyDescent="0.25">
      <c r="A3" s="224">
        <v>43923</v>
      </c>
      <c r="B3" s="225" t="str">
        <f t="shared" si="0"/>
        <v>Čt</v>
      </c>
      <c r="C3" s="226">
        <v>11.5</v>
      </c>
      <c r="D3" s="395">
        <f t="shared" si="1"/>
        <v>69</v>
      </c>
      <c r="E3" s="396" t="s">
        <v>75</v>
      </c>
      <c r="F3" s="228" t="s">
        <v>72</v>
      </c>
      <c r="G3" s="229" t="s">
        <v>73</v>
      </c>
      <c r="H3" s="397" t="s">
        <v>74</v>
      </c>
      <c r="I3" s="398" t="s">
        <v>116</v>
      </c>
      <c r="J3" s="399" t="s">
        <v>15</v>
      </c>
      <c r="K3" s="16" t="s">
        <v>16</v>
      </c>
      <c r="L3" s="400">
        <v>6</v>
      </c>
      <c r="M3" s="15" t="s">
        <v>19</v>
      </c>
      <c r="N3" s="17">
        <v>30000</v>
      </c>
      <c r="O3" s="18" t="s">
        <v>17</v>
      </c>
      <c r="P3" s="19" t="s">
        <v>130</v>
      </c>
      <c r="Q3" s="20">
        <v>43949</v>
      </c>
      <c r="S3" s="13">
        <f t="shared" si="2"/>
        <v>4</v>
      </c>
    </row>
    <row r="4" spans="1:19" x14ac:dyDescent="0.25">
      <c r="A4" s="233">
        <v>43924</v>
      </c>
      <c r="B4" s="234" t="str">
        <f t="shared" si="0"/>
        <v>Pá</v>
      </c>
      <c r="C4" s="235">
        <v>11.5</v>
      </c>
      <c r="D4" s="401">
        <f t="shared" si="1"/>
        <v>69</v>
      </c>
      <c r="E4" s="402" t="s">
        <v>75</v>
      </c>
      <c r="F4" s="237" t="s">
        <v>72</v>
      </c>
      <c r="G4" s="238" t="s">
        <v>73</v>
      </c>
      <c r="H4" s="403" t="s">
        <v>74</v>
      </c>
      <c r="I4" s="404" t="s">
        <v>116</v>
      </c>
      <c r="J4" s="405" t="s">
        <v>15</v>
      </c>
      <c r="K4" s="22" t="s">
        <v>16</v>
      </c>
      <c r="L4" s="406">
        <v>6</v>
      </c>
      <c r="M4" s="242">
        <v>0</v>
      </c>
      <c r="N4" s="17"/>
      <c r="O4" s="18" t="s">
        <v>17</v>
      </c>
      <c r="P4" s="19" t="s">
        <v>130</v>
      </c>
      <c r="Q4" s="20"/>
      <c r="S4" s="13">
        <f t="shared" si="2"/>
        <v>5</v>
      </c>
    </row>
    <row r="5" spans="1:19" x14ac:dyDescent="0.25">
      <c r="A5" s="224">
        <v>43925</v>
      </c>
      <c r="B5" s="225" t="str">
        <f t="shared" si="0"/>
        <v>So</v>
      </c>
      <c r="C5" s="243">
        <v>8.5</v>
      </c>
      <c r="D5" s="401">
        <f t="shared" si="1"/>
        <v>51</v>
      </c>
      <c r="E5" s="396" t="s">
        <v>25</v>
      </c>
      <c r="F5" s="228" t="s">
        <v>72</v>
      </c>
      <c r="G5" s="229" t="s">
        <v>73</v>
      </c>
      <c r="H5" s="397" t="s">
        <v>74</v>
      </c>
      <c r="I5" s="404" t="s">
        <v>116</v>
      </c>
      <c r="J5" s="407" t="s">
        <v>15</v>
      </c>
      <c r="K5" s="16" t="s">
        <v>16</v>
      </c>
      <c r="L5" s="400">
        <v>6</v>
      </c>
      <c r="M5" s="15" t="s">
        <v>14</v>
      </c>
      <c r="N5" s="23">
        <v>14399</v>
      </c>
      <c r="O5" s="24" t="s">
        <v>17</v>
      </c>
      <c r="P5" s="25" t="s">
        <v>131</v>
      </c>
      <c r="Q5" s="26">
        <v>43966</v>
      </c>
      <c r="R5" s="30"/>
      <c r="S5" s="13">
        <f t="shared" si="2"/>
        <v>6</v>
      </c>
    </row>
    <row r="6" spans="1:19" x14ac:dyDescent="0.25">
      <c r="A6" s="233">
        <v>43926</v>
      </c>
      <c r="B6" s="234" t="str">
        <f t="shared" si="0"/>
        <v>Ne</v>
      </c>
      <c r="C6" s="245">
        <v>0</v>
      </c>
      <c r="D6" s="401">
        <f t="shared" si="1"/>
        <v>0</v>
      </c>
      <c r="E6" s="402"/>
      <c r="F6" s="237"/>
      <c r="G6" s="229"/>
      <c r="H6" s="403"/>
      <c r="I6" s="404" t="s">
        <v>116</v>
      </c>
      <c r="J6" s="405" t="s">
        <v>15</v>
      </c>
      <c r="K6" s="22" t="s">
        <v>16</v>
      </c>
      <c r="L6" s="406"/>
      <c r="M6" s="21">
        <f>SUM(C2:C23)+C25+C26</f>
        <v>226</v>
      </c>
      <c r="N6" s="17" t="s">
        <v>130</v>
      </c>
      <c r="O6" s="27"/>
      <c r="P6" s="28"/>
      <c r="Q6" s="29"/>
      <c r="R6" s="30"/>
      <c r="S6" s="13">
        <f t="shared" si="2"/>
        <v>7</v>
      </c>
    </row>
    <row r="7" spans="1:19" x14ac:dyDescent="0.25">
      <c r="A7" s="364">
        <v>43927</v>
      </c>
      <c r="B7" s="225" t="str">
        <f t="shared" si="0"/>
        <v>Po</v>
      </c>
      <c r="C7" s="243">
        <v>11.5</v>
      </c>
      <c r="D7" s="395">
        <f t="shared" si="1"/>
        <v>69</v>
      </c>
      <c r="E7" s="396" t="s">
        <v>75</v>
      </c>
      <c r="F7" s="228" t="s">
        <v>72</v>
      </c>
      <c r="G7" s="246" t="s">
        <v>73</v>
      </c>
      <c r="H7" s="397" t="s">
        <v>74</v>
      </c>
      <c r="I7" s="398" t="s">
        <v>116</v>
      </c>
      <c r="J7" s="399" t="s">
        <v>15</v>
      </c>
      <c r="K7" s="16" t="s">
        <v>16</v>
      </c>
      <c r="L7" s="400">
        <v>6</v>
      </c>
      <c r="M7" s="14" t="s">
        <v>20</v>
      </c>
      <c r="N7" s="31">
        <f>SUM(N3)</f>
        <v>30000</v>
      </c>
      <c r="O7" s="30"/>
      <c r="P7" s="30"/>
      <c r="Q7" s="32"/>
      <c r="R7" s="30"/>
      <c r="S7" s="13">
        <f t="shared" si="2"/>
        <v>1</v>
      </c>
    </row>
    <row r="8" spans="1:19" x14ac:dyDescent="0.25">
      <c r="A8" s="233">
        <v>43928</v>
      </c>
      <c r="B8" s="234" t="str">
        <f t="shared" si="0"/>
        <v>Út</v>
      </c>
      <c r="C8" s="245">
        <v>11.5</v>
      </c>
      <c r="D8" s="401">
        <f t="shared" si="1"/>
        <v>69</v>
      </c>
      <c r="E8" s="408" t="s">
        <v>75</v>
      </c>
      <c r="F8" s="237" t="s">
        <v>72</v>
      </c>
      <c r="G8" s="249" t="s">
        <v>73</v>
      </c>
      <c r="H8" s="403" t="s">
        <v>74</v>
      </c>
      <c r="I8" s="404" t="s">
        <v>116</v>
      </c>
      <c r="J8" s="405" t="s">
        <v>15</v>
      </c>
      <c r="K8" s="22" t="s">
        <v>16</v>
      </c>
      <c r="L8" s="406">
        <v>6</v>
      </c>
      <c r="M8" s="21" t="s">
        <v>22</v>
      </c>
      <c r="N8" s="33" t="s">
        <v>132</v>
      </c>
      <c r="O8" s="30"/>
      <c r="P8" s="30"/>
      <c r="Q8" s="32"/>
      <c r="R8" s="30"/>
      <c r="S8" s="13">
        <f t="shared" si="2"/>
        <v>2</v>
      </c>
    </row>
    <row r="9" spans="1:19" x14ac:dyDescent="0.25">
      <c r="A9" s="224">
        <v>43929</v>
      </c>
      <c r="B9" s="225" t="str">
        <f t="shared" si="0"/>
        <v>St</v>
      </c>
      <c r="C9" s="243">
        <v>11.5</v>
      </c>
      <c r="D9" s="395">
        <f t="shared" si="1"/>
        <v>69</v>
      </c>
      <c r="E9" s="409" t="s">
        <v>75</v>
      </c>
      <c r="F9" s="410" t="s">
        <v>72</v>
      </c>
      <c r="G9" s="411" t="s">
        <v>73</v>
      </c>
      <c r="H9" s="397" t="s">
        <v>74</v>
      </c>
      <c r="I9" s="398" t="s">
        <v>116</v>
      </c>
      <c r="J9" s="399" t="s">
        <v>15</v>
      </c>
      <c r="K9" s="16" t="s">
        <v>16</v>
      </c>
      <c r="L9" s="400">
        <v>6</v>
      </c>
      <c r="M9" s="15" t="s">
        <v>23</v>
      </c>
      <c r="N9" s="254">
        <f>SUM(N2:N4)</f>
        <v>50319</v>
      </c>
      <c r="O9" s="30"/>
      <c r="P9" s="30"/>
      <c r="Q9" s="32"/>
      <c r="R9" s="30"/>
      <c r="S9" s="13">
        <f t="shared" si="2"/>
        <v>3</v>
      </c>
    </row>
    <row r="10" spans="1:19" x14ac:dyDescent="0.25">
      <c r="A10" s="233">
        <v>43930</v>
      </c>
      <c r="B10" s="234" t="str">
        <f t="shared" si="0"/>
        <v>Čt</v>
      </c>
      <c r="C10" s="245">
        <v>11.5</v>
      </c>
      <c r="D10" s="401">
        <f t="shared" si="1"/>
        <v>69</v>
      </c>
      <c r="E10" s="408" t="s">
        <v>75</v>
      </c>
      <c r="F10" s="237" t="s">
        <v>72</v>
      </c>
      <c r="G10" s="249" t="s">
        <v>73</v>
      </c>
      <c r="H10" s="403" t="s">
        <v>74</v>
      </c>
      <c r="I10" s="404" t="s">
        <v>116</v>
      </c>
      <c r="J10" s="405" t="s">
        <v>15</v>
      </c>
      <c r="K10" s="22" t="s">
        <v>16</v>
      </c>
      <c r="L10" s="406">
        <v>6</v>
      </c>
      <c r="M10" s="251">
        <f>SUM(M2*350)+R2</f>
        <v>83620</v>
      </c>
      <c r="N10" s="35"/>
      <c r="O10" s="30"/>
      <c r="P10" s="30"/>
      <c r="Q10" s="32"/>
      <c r="R10" s="30"/>
      <c r="S10" s="13">
        <f t="shared" si="2"/>
        <v>4</v>
      </c>
    </row>
    <row r="11" spans="1:19" x14ac:dyDescent="0.25">
      <c r="A11" s="224">
        <v>43931</v>
      </c>
      <c r="B11" s="225" t="str">
        <f t="shared" si="0"/>
        <v>Pá</v>
      </c>
      <c r="C11" s="243">
        <v>11.5</v>
      </c>
      <c r="D11" s="395">
        <f t="shared" si="1"/>
        <v>69</v>
      </c>
      <c r="E11" s="412" t="s">
        <v>75</v>
      </c>
      <c r="F11" s="410" t="s">
        <v>72</v>
      </c>
      <c r="G11" s="411" t="s">
        <v>73</v>
      </c>
      <c r="H11" s="397" t="s">
        <v>74</v>
      </c>
      <c r="I11" s="398" t="s">
        <v>116</v>
      </c>
      <c r="J11" s="399" t="s">
        <v>15</v>
      </c>
      <c r="K11" s="16" t="s">
        <v>16</v>
      </c>
      <c r="L11" s="400">
        <v>6</v>
      </c>
      <c r="M11" s="15" t="s">
        <v>24</v>
      </c>
      <c r="N11" s="36"/>
      <c r="O11" s="30"/>
      <c r="P11" s="30"/>
      <c r="Q11" s="30"/>
      <c r="R11" s="30"/>
      <c r="S11" s="13">
        <f t="shared" si="2"/>
        <v>5</v>
      </c>
    </row>
    <row r="12" spans="1:19" x14ac:dyDescent="0.25">
      <c r="A12" s="233">
        <v>43932</v>
      </c>
      <c r="B12" s="234" t="str">
        <f t="shared" si="0"/>
        <v>So</v>
      </c>
      <c r="C12" s="245">
        <v>8.5</v>
      </c>
      <c r="D12" s="401">
        <f t="shared" si="1"/>
        <v>42.5</v>
      </c>
      <c r="E12" s="413" t="s">
        <v>25</v>
      </c>
      <c r="F12" s="237" t="s">
        <v>72</v>
      </c>
      <c r="G12" s="249" t="s">
        <v>73</v>
      </c>
      <c r="H12" s="403" t="s">
        <v>74</v>
      </c>
      <c r="I12" s="404" t="s">
        <v>116</v>
      </c>
      <c r="J12" s="405" t="s">
        <v>15</v>
      </c>
      <c r="K12" s="22" t="s">
        <v>16</v>
      </c>
      <c r="L12" s="406">
        <v>5</v>
      </c>
      <c r="M12" s="254">
        <f>(M10+M20+M18-M22)-M14</f>
        <v>83620</v>
      </c>
      <c r="N12" s="36"/>
      <c r="O12" s="30"/>
      <c r="P12" s="30"/>
      <c r="Q12" s="30"/>
      <c r="R12" s="30"/>
      <c r="S12" s="13">
        <f t="shared" si="2"/>
        <v>6</v>
      </c>
    </row>
    <row r="13" spans="1:19" x14ac:dyDescent="0.25">
      <c r="A13" s="224">
        <v>43933</v>
      </c>
      <c r="B13" s="225" t="str">
        <f t="shared" si="0"/>
        <v>Ne</v>
      </c>
      <c r="C13" s="243">
        <v>0</v>
      </c>
      <c r="D13" s="401">
        <f t="shared" si="1"/>
        <v>0</v>
      </c>
      <c r="E13" s="414"/>
      <c r="F13" s="237" t="s">
        <v>72</v>
      </c>
      <c r="G13" s="249" t="s">
        <v>73</v>
      </c>
      <c r="H13" s="397"/>
      <c r="I13" s="404" t="s">
        <v>116</v>
      </c>
      <c r="J13" s="399" t="s">
        <v>15</v>
      </c>
      <c r="K13" s="16" t="s">
        <v>16</v>
      </c>
      <c r="L13" s="400"/>
      <c r="M13" s="15" t="s">
        <v>26</v>
      </c>
      <c r="N13" s="37"/>
      <c r="O13" s="30"/>
      <c r="P13" s="30"/>
      <c r="Q13" s="30"/>
      <c r="R13" s="30"/>
      <c r="S13" s="13">
        <f t="shared" si="2"/>
        <v>7</v>
      </c>
    </row>
    <row r="14" spans="1:19" x14ac:dyDescent="0.25">
      <c r="A14" s="233">
        <v>43934</v>
      </c>
      <c r="B14" s="234" t="str">
        <f t="shared" si="0"/>
        <v>Po</v>
      </c>
      <c r="C14" s="235">
        <v>11.5</v>
      </c>
      <c r="D14" s="401">
        <f t="shared" si="1"/>
        <v>57.5</v>
      </c>
      <c r="E14" s="413" t="s">
        <v>75</v>
      </c>
      <c r="F14" s="237" t="s">
        <v>72</v>
      </c>
      <c r="G14" s="249" t="s">
        <v>73</v>
      </c>
      <c r="H14" s="403" t="s">
        <v>74</v>
      </c>
      <c r="I14" s="404" t="s">
        <v>116</v>
      </c>
      <c r="J14" s="405" t="s">
        <v>15</v>
      </c>
      <c r="K14" s="22" t="s">
        <v>16</v>
      </c>
      <c r="L14" s="406">
        <v>5</v>
      </c>
      <c r="M14" s="254">
        <f>(M16*25.5)</f>
        <v>0</v>
      </c>
      <c r="N14" s="37"/>
      <c r="O14" s="30"/>
      <c r="P14" s="30"/>
      <c r="Q14" s="30"/>
      <c r="R14" s="30"/>
      <c r="S14" s="13">
        <f t="shared" si="2"/>
        <v>1</v>
      </c>
    </row>
    <row r="15" spans="1:19" x14ac:dyDescent="0.25">
      <c r="A15" s="364">
        <v>43935</v>
      </c>
      <c r="B15" s="225" t="str">
        <f t="shared" si="0"/>
        <v>Út</v>
      </c>
      <c r="C15" s="226">
        <v>11.5</v>
      </c>
      <c r="D15" s="395">
        <f t="shared" si="1"/>
        <v>57.5</v>
      </c>
      <c r="E15" s="412" t="s">
        <v>75</v>
      </c>
      <c r="F15" s="410" t="s">
        <v>72</v>
      </c>
      <c r="G15" s="411" t="s">
        <v>73</v>
      </c>
      <c r="H15" s="397" t="s">
        <v>74</v>
      </c>
      <c r="I15" s="398" t="s">
        <v>116</v>
      </c>
      <c r="J15" s="399" t="s">
        <v>15</v>
      </c>
      <c r="K15" s="16" t="s">
        <v>16</v>
      </c>
      <c r="L15" s="400">
        <v>5</v>
      </c>
      <c r="M15" s="15" t="s">
        <v>29</v>
      </c>
      <c r="N15" s="37"/>
      <c r="O15" s="30"/>
      <c r="P15" s="30"/>
      <c r="Q15" s="30"/>
      <c r="R15" s="30"/>
      <c r="S15" s="13">
        <f t="shared" si="2"/>
        <v>2</v>
      </c>
    </row>
    <row r="16" spans="1:19" x14ac:dyDescent="0.25">
      <c r="A16" s="233">
        <v>43936</v>
      </c>
      <c r="B16" s="234" t="str">
        <f t="shared" si="0"/>
        <v>St</v>
      </c>
      <c r="C16" s="235">
        <v>11.5</v>
      </c>
      <c r="D16" s="401">
        <f t="shared" si="1"/>
        <v>57.5</v>
      </c>
      <c r="E16" s="408" t="s">
        <v>75</v>
      </c>
      <c r="F16" s="237" t="s">
        <v>72</v>
      </c>
      <c r="G16" s="249" t="s">
        <v>73</v>
      </c>
      <c r="H16" s="403" t="s">
        <v>74</v>
      </c>
      <c r="I16" s="404" t="s">
        <v>116</v>
      </c>
      <c r="J16" s="405" t="s">
        <v>15</v>
      </c>
      <c r="K16" s="22" t="s">
        <v>16</v>
      </c>
      <c r="L16" s="406">
        <v>5</v>
      </c>
      <c r="M16" s="258">
        <f>'20DubenV'!O27</f>
        <v>0</v>
      </c>
      <c r="N16" s="37"/>
      <c r="O16" s="30"/>
      <c r="P16" s="30"/>
      <c r="Q16" s="30"/>
      <c r="R16" s="30"/>
      <c r="S16" s="13">
        <f t="shared" si="2"/>
        <v>3</v>
      </c>
    </row>
    <row r="17" spans="1:19" x14ac:dyDescent="0.25">
      <c r="A17" s="224">
        <v>43937</v>
      </c>
      <c r="B17" s="225" t="str">
        <f t="shared" si="0"/>
        <v>Čt</v>
      </c>
      <c r="C17" s="243">
        <v>11.5</v>
      </c>
      <c r="D17" s="395">
        <f t="shared" si="1"/>
        <v>57.5</v>
      </c>
      <c r="E17" s="409" t="s">
        <v>75</v>
      </c>
      <c r="F17" s="410" t="s">
        <v>72</v>
      </c>
      <c r="G17" s="411" t="s">
        <v>73</v>
      </c>
      <c r="H17" s="397" t="s">
        <v>74</v>
      </c>
      <c r="I17" s="398" t="s">
        <v>116</v>
      </c>
      <c r="J17" s="399" t="s">
        <v>15</v>
      </c>
      <c r="K17" s="16" t="s">
        <v>16</v>
      </c>
      <c r="L17" s="400">
        <v>5</v>
      </c>
      <c r="M17" s="15" t="s">
        <v>31</v>
      </c>
      <c r="R17" s="30"/>
      <c r="S17" s="13">
        <f t="shared" si="2"/>
        <v>4</v>
      </c>
    </row>
    <row r="18" spans="1:19" x14ac:dyDescent="0.25">
      <c r="A18" s="233">
        <v>43938</v>
      </c>
      <c r="B18" s="234" t="str">
        <f t="shared" si="0"/>
        <v>Pá</v>
      </c>
      <c r="C18" s="256">
        <v>11.5</v>
      </c>
      <c r="D18" s="401">
        <f t="shared" si="1"/>
        <v>57.5</v>
      </c>
      <c r="E18" s="408" t="s">
        <v>75</v>
      </c>
      <c r="F18" s="237" t="s">
        <v>72</v>
      </c>
      <c r="G18" s="249" t="s">
        <v>73</v>
      </c>
      <c r="H18" s="403" t="s">
        <v>74</v>
      </c>
      <c r="I18" s="404" t="s">
        <v>116</v>
      </c>
      <c r="J18" s="405" t="s">
        <v>15</v>
      </c>
      <c r="K18" s="22" t="s">
        <v>16</v>
      </c>
      <c r="L18" s="406">
        <v>5</v>
      </c>
      <c r="M18" s="251">
        <v>0</v>
      </c>
      <c r="R18" s="30"/>
      <c r="S18" s="13">
        <f t="shared" si="2"/>
        <v>5</v>
      </c>
    </row>
    <row r="19" spans="1:19" x14ac:dyDescent="0.25">
      <c r="A19" s="224">
        <v>43939</v>
      </c>
      <c r="B19" s="225" t="str">
        <f t="shared" si="0"/>
        <v>So</v>
      </c>
      <c r="C19" s="245">
        <v>8.5</v>
      </c>
      <c r="D19" s="401">
        <f t="shared" si="1"/>
        <v>42.5</v>
      </c>
      <c r="E19" s="409" t="s">
        <v>25</v>
      </c>
      <c r="F19" s="237" t="s">
        <v>72</v>
      </c>
      <c r="G19" s="249" t="s">
        <v>73</v>
      </c>
      <c r="H19" s="397" t="s">
        <v>74</v>
      </c>
      <c r="I19" s="404" t="s">
        <v>116</v>
      </c>
      <c r="J19" s="399" t="s">
        <v>15</v>
      </c>
      <c r="K19" s="16" t="s">
        <v>16</v>
      </c>
      <c r="L19" s="400">
        <v>5</v>
      </c>
      <c r="M19" s="259" t="s">
        <v>33</v>
      </c>
      <c r="R19" s="30"/>
      <c r="S19" s="13">
        <f t="shared" si="2"/>
        <v>6</v>
      </c>
    </row>
    <row r="20" spans="1:19" x14ac:dyDescent="0.25">
      <c r="A20" s="233">
        <v>43940</v>
      </c>
      <c r="B20" s="234" t="str">
        <f t="shared" si="0"/>
        <v>Ne</v>
      </c>
      <c r="C20" s="245"/>
      <c r="D20" s="401">
        <f t="shared" si="1"/>
        <v>0</v>
      </c>
      <c r="E20" s="408"/>
      <c r="F20" s="237" t="s">
        <v>72</v>
      </c>
      <c r="G20" s="249" t="s">
        <v>73</v>
      </c>
      <c r="H20" s="239"/>
      <c r="I20" s="391" t="s">
        <v>116</v>
      </c>
      <c r="J20" s="240" t="s">
        <v>15</v>
      </c>
      <c r="K20" s="22" t="s">
        <v>16</v>
      </c>
      <c r="L20" s="406"/>
      <c r="M20" s="251">
        <v>0</v>
      </c>
      <c r="R20" s="30"/>
      <c r="S20" s="13">
        <f t="shared" si="2"/>
        <v>7</v>
      </c>
    </row>
    <row r="21" spans="1:19" ht="15.75" customHeight="1" x14ac:dyDescent="0.25">
      <c r="A21" s="364">
        <v>43941</v>
      </c>
      <c r="B21" s="225" t="str">
        <f t="shared" si="0"/>
        <v>Po</v>
      </c>
      <c r="C21" s="243">
        <v>11.5</v>
      </c>
      <c r="D21" s="395">
        <f t="shared" si="1"/>
        <v>57.5</v>
      </c>
      <c r="E21" s="412" t="s">
        <v>75</v>
      </c>
      <c r="F21" s="410" t="s">
        <v>72</v>
      </c>
      <c r="G21" s="411" t="s">
        <v>73</v>
      </c>
      <c r="H21" s="397" t="s">
        <v>74</v>
      </c>
      <c r="I21" s="415" t="s">
        <v>116</v>
      </c>
      <c r="J21" s="244" t="s">
        <v>15</v>
      </c>
      <c r="K21" s="416" t="s">
        <v>16</v>
      </c>
      <c r="L21" s="400">
        <v>5</v>
      </c>
      <c r="M21" s="259" t="s">
        <v>34</v>
      </c>
      <c r="R21" s="30"/>
      <c r="S21" s="13">
        <f t="shared" si="2"/>
        <v>1</v>
      </c>
    </row>
    <row r="22" spans="1:19" ht="15.75" customHeight="1" x14ac:dyDescent="0.25">
      <c r="A22" s="233">
        <v>43942</v>
      </c>
      <c r="B22" s="234" t="str">
        <f t="shared" si="0"/>
        <v>Út</v>
      </c>
      <c r="C22" s="245">
        <v>11.5</v>
      </c>
      <c r="D22" s="401">
        <f t="shared" si="1"/>
        <v>57.5</v>
      </c>
      <c r="E22" s="413" t="s">
        <v>75</v>
      </c>
      <c r="F22" s="237" t="s">
        <v>72</v>
      </c>
      <c r="G22" s="249" t="s">
        <v>73</v>
      </c>
      <c r="H22" s="403" t="s">
        <v>74</v>
      </c>
      <c r="I22" s="404" t="s">
        <v>116</v>
      </c>
      <c r="J22" s="240" t="s">
        <v>15</v>
      </c>
      <c r="K22" s="22" t="s">
        <v>16</v>
      </c>
      <c r="L22" s="406">
        <v>5</v>
      </c>
      <c r="M22" s="251">
        <v>0</v>
      </c>
      <c r="R22" s="30"/>
      <c r="S22" s="13">
        <f t="shared" si="2"/>
        <v>2</v>
      </c>
    </row>
    <row r="23" spans="1:19" ht="15.75" customHeight="1" x14ac:dyDescent="0.25">
      <c r="A23" s="224">
        <v>43943</v>
      </c>
      <c r="B23" s="225" t="str">
        <f t="shared" si="0"/>
        <v>St</v>
      </c>
      <c r="C23" s="243">
        <v>11.5</v>
      </c>
      <c r="D23" s="395">
        <f t="shared" si="1"/>
        <v>57.5</v>
      </c>
      <c r="E23" s="409" t="s">
        <v>75</v>
      </c>
      <c r="F23" s="410" t="s">
        <v>72</v>
      </c>
      <c r="G23" s="411" t="s">
        <v>73</v>
      </c>
      <c r="H23" s="397" t="s">
        <v>74</v>
      </c>
      <c r="I23" s="398" t="s">
        <v>116</v>
      </c>
      <c r="J23" s="244" t="s">
        <v>15</v>
      </c>
      <c r="K23" s="416" t="s">
        <v>16</v>
      </c>
      <c r="L23" s="400">
        <v>5</v>
      </c>
      <c r="M23" s="15" t="s">
        <v>35</v>
      </c>
      <c r="R23" s="30"/>
      <c r="S23" s="13">
        <f t="shared" si="2"/>
        <v>3</v>
      </c>
    </row>
    <row r="24" spans="1:19" ht="15.75" customHeight="1" x14ac:dyDescent="0.25">
      <c r="A24" s="233">
        <v>43944</v>
      </c>
      <c r="B24" s="234" t="str">
        <f t="shared" si="0"/>
        <v>Čt</v>
      </c>
      <c r="C24" s="245">
        <v>11.5</v>
      </c>
      <c r="D24" s="401">
        <f t="shared" si="1"/>
        <v>46</v>
      </c>
      <c r="E24" s="408" t="s">
        <v>75</v>
      </c>
      <c r="F24" s="237" t="s">
        <v>72</v>
      </c>
      <c r="G24" s="249" t="s">
        <v>73</v>
      </c>
      <c r="H24" s="403" t="s">
        <v>74</v>
      </c>
      <c r="I24" s="404" t="s">
        <v>116</v>
      </c>
      <c r="J24" s="240" t="s">
        <v>15</v>
      </c>
      <c r="K24" s="22" t="s">
        <v>16</v>
      </c>
      <c r="L24" s="406">
        <v>4</v>
      </c>
      <c r="M24" s="260">
        <f>M12-N7</f>
        <v>53620</v>
      </c>
      <c r="R24" s="30"/>
      <c r="S24" s="13">
        <f t="shared" si="2"/>
        <v>4</v>
      </c>
    </row>
    <row r="25" spans="1:19" ht="15.75" customHeight="1" x14ac:dyDescent="0.25">
      <c r="A25" s="224">
        <v>43945</v>
      </c>
      <c r="B25" s="225" t="str">
        <f t="shared" si="0"/>
        <v>Pá</v>
      </c>
      <c r="C25" s="243">
        <v>11.5</v>
      </c>
      <c r="D25" s="395">
        <f t="shared" si="1"/>
        <v>57.5</v>
      </c>
      <c r="E25" s="412" t="s">
        <v>75</v>
      </c>
      <c r="F25" s="410" t="s">
        <v>72</v>
      </c>
      <c r="G25" s="411" t="s">
        <v>73</v>
      </c>
      <c r="H25" s="397" t="s">
        <v>74</v>
      </c>
      <c r="I25" s="398" t="s">
        <v>116</v>
      </c>
      <c r="J25" s="244" t="s">
        <v>15</v>
      </c>
      <c r="K25" s="416" t="s">
        <v>16</v>
      </c>
      <c r="L25" s="400">
        <v>5</v>
      </c>
      <c r="M25" s="15" t="s">
        <v>36</v>
      </c>
      <c r="R25" s="30"/>
      <c r="S25" s="13">
        <f t="shared" si="2"/>
        <v>5</v>
      </c>
    </row>
    <row r="26" spans="1:19" ht="15.75" customHeight="1" x14ac:dyDescent="0.25">
      <c r="A26" s="233">
        <v>43946</v>
      </c>
      <c r="B26" s="234" t="str">
        <f t="shared" si="0"/>
        <v>So</v>
      </c>
      <c r="C26" s="245">
        <v>5</v>
      </c>
      <c r="D26" s="401">
        <f t="shared" si="1"/>
        <v>25</v>
      </c>
      <c r="E26" s="413" t="s">
        <v>133</v>
      </c>
      <c r="F26" s="237" t="s">
        <v>72</v>
      </c>
      <c r="G26" s="249" t="s">
        <v>73</v>
      </c>
      <c r="H26" s="403"/>
      <c r="I26" s="417" t="s">
        <v>116</v>
      </c>
      <c r="J26" s="240" t="s">
        <v>15</v>
      </c>
      <c r="K26" s="22" t="s">
        <v>16</v>
      </c>
      <c r="L26" s="418">
        <v>5</v>
      </c>
      <c r="M26" s="261">
        <v>41913</v>
      </c>
      <c r="R26" s="30"/>
      <c r="S26" s="13">
        <f t="shared" si="2"/>
        <v>6</v>
      </c>
    </row>
    <row r="27" spans="1:19" ht="15.75" customHeight="1" x14ac:dyDescent="0.25">
      <c r="A27" s="224">
        <v>43947</v>
      </c>
      <c r="B27" s="225" t="str">
        <f t="shared" ref="B27:B32" si="3">CHOOSE(WEEKDAY(R27),"Po","Út","St","Čt","Pá","So","Ne")</f>
        <v>Ne</v>
      </c>
      <c r="C27" s="243"/>
      <c r="D27" s="419">
        <f t="shared" si="1"/>
        <v>0</v>
      </c>
      <c r="E27" s="412"/>
      <c r="F27" s="257"/>
      <c r="G27" s="229"/>
      <c r="H27" s="255"/>
      <c r="I27" s="18"/>
      <c r="J27" s="231"/>
      <c r="K27" s="232"/>
      <c r="L27" s="30"/>
      <c r="Q27" s="30"/>
      <c r="R27" s="13">
        <f t="shared" ref="R27:R32" si="4">WEEKDAY(A27,2)</f>
        <v>7</v>
      </c>
    </row>
    <row r="28" spans="1:19" ht="15.75" customHeight="1" x14ac:dyDescent="0.25">
      <c r="A28" s="262">
        <v>43948</v>
      </c>
      <c r="B28" s="234" t="str">
        <f t="shared" si="3"/>
        <v>Po</v>
      </c>
      <c r="C28" s="245"/>
      <c r="D28" s="401">
        <f t="shared" si="1"/>
        <v>0</v>
      </c>
      <c r="E28" s="413"/>
      <c r="F28" s="256"/>
      <c r="G28" s="238"/>
      <c r="H28" s="263"/>
      <c r="I28" s="420"/>
      <c r="J28" s="240"/>
      <c r="K28" s="241"/>
      <c r="L28" s="30"/>
      <c r="M28" s="30"/>
      <c r="N28" s="30"/>
      <c r="O28" s="30"/>
      <c r="P28" s="30"/>
      <c r="Q28" s="30"/>
      <c r="R28" s="13">
        <f t="shared" si="4"/>
        <v>1</v>
      </c>
    </row>
    <row r="29" spans="1:19" ht="15.75" customHeight="1" x14ac:dyDescent="0.25">
      <c r="A29" s="264">
        <v>43949</v>
      </c>
      <c r="B29" s="225" t="str">
        <f t="shared" si="3"/>
        <v>Út</v>
      </c>
      <c r="C29" s="243"/>
      <c r="D29" s="395">
        <f t="shared" si="1"/>
        <v>0</v>
      </c>
      <c r="E29" s="412"/>
      <c r="F29" s="257"/>
      <c r="G29" s="229"/>
      <c r="H29" s="255"/>
      <c r="I29" s="257"/>
      <c r="J29" s="231"/>
      <c r="K29" s="232"/>
      <c r="L29" s="30"/>
      <c r="M29" s="30"/>
      <c r="N29" s="30"/>
      <c r="O29" s="30"/>
      <c r="P29" s="30"/>
      <c r="Q29" s="30"/>
      <c r="R29" s="13">
        <f t="shared" si="4"/>
        <v>2</v>
      </c>
    </row>
    <row r="30" spans="1:19" ht="15.75" customHeight="1" x14ac:dyDescent="0.25">
      <c r="A30" s="265">
        <v>43950</v>
      </c>
      <c r="B30" s="234" t="str">
        <f t="shared" si="3"/>
        <v>St</v>
      </c>
      <c r="C30" s="245"/>
      <c r="D30" s="401">
        <f t="shared" si="1"/>
        <v>0</v>
      </c>
      <c r="E30" s="413"/>
      <c r="F30" s="256"/>
      <c r="G30" s="238"/>
      <c r="H30" s="263"/>
      <c r="I30" s="256"/>
      <c r="J30" s="240"/>
      <c r="K30" s="241"/>
      <c r="L30" s="30"/>
      <c r="M30" s="30"/>
      <c r="N30" s="30"/>
      <c r="O30" s="30"/>
      <c r="P30" s="30"/>
      <c r="Q30" s="30"/>
      <c r="R30" s="13">
        <f t="shared" si="4"/>
        <v>3</v>
      </c>
    </row>
    <row r="31" spans="1:19" ht="15.75" customHeight="1" x14ac:dyDescent="0.25">
      <c r="A31" s="264">
        <v>43951</v>
      </c>
      <c r="B31" s="225" t="str">
        <f t="shared" si="3"/>
        <v>Čt</v>
      </c>
      <c r="C31" s="243"/>
      <c r="D31" s="395">
        <f t="shared" si="1"/>
        <v>0</v>
      </c>
      <c r="E31" s="412"/>
      <c r="F31" s="257"/>
      <c r="G31" s="229"/>
      <c r="H31" s="255"/>
      <c r="I31" s="257"/>
      <c r="J31" s="231"/>
      <c r="K31" s="232"/>
      <c r="L31" s="38"/>
      <c r="M31" s="36"/>
      <c r="N31" s="30"/>
      <c r="O31" s="30"/>
      <c r="P31" s="30"/>
      <c r="Q31" s="30"/>
      <c r="R31" s="13">
        <f t="shared" si="4"/>
        <v>4</v>
      </c>
    </row>
    <row r="32" spans="1:19" ht="15.75" customHeight="1" x14ac:dyDescent="0.25">
      <c r="A32" s="266">
        <v>43951</v>
      </c>
      <c r="B32" s="267" t="str">
        <f t="shared" si="3"/>
        <v>Čt</v>
      </c>
      <c r="C32" s="365"/>
      <c r="D32" s="421">
        <f t="shared" si="1"/>
        <v>0</v>
      </c>
      <c r="E32" s="422"/>
      <c r="F32" s="367"/>
      <c r="G32" s="368"/>
      <c r="H32" s="423"/>
      <c r="I32" s="367"/>
      <c r="J32" s="369"/>
      <c r="K32" s="370"/>
      <c r="L32" s="38"/>
      <c r="M32" s="38"/>
      <c r="N32" s="38"/>
      <c r="O32" s="30"/>
      <c r="P32" s="30"/>
      <c r="Q32" s="30"/>
      <c r="R32" s="13">
        <f t="shared" si="4"/>
        <v>4</v>
      </c>
    </row>
    <row r="33" spans="1:21" ht="15.75" customHeight="1" x14ac:dyDescent="0.25">
      <c r="K33" s="38"/>
      <c r="L33" s="38"/>
      <c r="M33" s="38"/>
      <c r="N33" s="30"/>
      <c r="O33" s="30"/>
      <c r="P33" s="30"/>
    </row>
    <row r="34" spans="1:21" ht="15.75" customHeight="1" x14ac:dyDescent="0.25">
      <c r="K34" s="30"/>
      <c r="L34" s="38"/>
      <c r="M34" s="38"/>
      <c r="N34" s="30"/>
      <c r="O34" s="30"/>
      <c r="P34" s="30"/>
    </row>
    <row r="35" spans="1:21" ht="15.75" customHeight="1" x14ac:dyDescent="0.25">
      <c r="A35" s="30"/>
      <c r="B35" s="30"/>
      <c r="C35" s="30"/>
      <c r="D35" s="30"/>
      <c r="E35" s="30"/>
      <c r="F35" s="30"/>
      <c r="G35" s="13"/>
      <c r="L35" s="30"/>
      <c r="M35" s="30"/>
      <c r="N35" s="30"/>
      <c r="O35" s="30"/>
    </row>
    <row r="36" spans="1:21" ht="15.75" customHeight="1" x14ac:dyDescent="0.25">
      <c r="D36" s="1257" t="s">
        <v>80</v>
      </c>
      <c r="E36" s="1258"/>
      <c r="F36" s="1259" t="s">
        <v>81</v>
      </c>
      <c r="G36" s="1258"/>
      <c r="P36" s="30"/>
      <c r="Q36" s="40"/>
      <c r="R36" s="40"/>
      <c r="S36" s="40"/>
    </row>
    <row r="37" spans="1:21" ht="15.75" customHeight="1" x14ac:dyDescent="0.25">
      <c r="D37" s="268" t="s">
        <v>47</v>
      </c>
      <c r="E37" s="269" t="s">
        <v>82</v>
      </c>
      <c r="F37" s="268" t="s">
        <v>47</v>
      </c>
      <c r="G37" s="270" t="s">
        <v>82</v>
      </c>
      <c r="P37" s="30"/>
      <c r="Q37" s="40"/>
      <c r="R37" s="40"/>
      <c r="S37" s="40"/>
      <c r="T37" s="40"/>
      <c r="U37" s="30"/>
    </row>
    <row r="38" spans="1:21" ht="15.75" customHeight="1" x14ac:dyDescent="0.25">
      <c r="D38" s="271">
        <v>43903</v>
      </c>
      <c r="E38" s="272">
        <v>151500</v>
      </c>
      <c r="F38" s="273"/>
      <c r="G38" s="274"/>
      <c r="P38" s="30"/>
      <c r="Q38" s="40"/>
      <c r="R38" s="40"/>
      <c r="S38" s="40"/>
      <c r="T38" s="40"/>
      <c r="U38" s="30"/>
    </row>
    <row r="39" spans="1:21" ht="15.75" customHeight="1" x14ac:dyDescent="0.25">
      <c r="D39" s="30"/>
      <c r="E39" s="1260" t="s">
        <v>83</v>
      </c>
      <c r="F39" s="1258"/>
      <c r="G39" s="30"/>
      <c r="P39" s="41"/>
      <c r="Q39" s="40"/>
      <c r="R39" s="40"/>
      <c r="S39" s="40"/>
      <c r="T39" s="40"/>
      <c r="U39" s="30"/>
    </row>
    <row r="40" spans="1:21" ht="15.75" customHeight="1" x14ac:dyDescent="0.25">
      <c r="D40" s="275"/>
      <c r="E40" s="1261">
        <f>G38-E38</f>
        <v>-151500</v>
      </c>
      <c r="F40" s="1262"/>
      <c r="G40" s="30"/>
      <c r="P40" s="41"/>
      <c r="Q40" s="40"/>
      <c r="R40" s="40"/>
      <c r="S40" s="40"/>
      <c r="T40" s="40"/>
      <c r="U40" s="30"/>
    </row>
    <row r="41" spans="1:21" ht="15.75" customHeight="1" x14ac:dyDescent="0.25">
      <c r="M41" s="41"/>
      <c r="N41" s="40"/>
      <c r="O41" s="40"/>
      <c r="P41" s="40"/>
      <c r="Q41" s="40"/>
      <c r="R41" s="30"/>
    </row>
    <row r="42" spans="1:21" ht="15.75" customHeight="1" x14ac:dyDescent="0.25">
      <c r="M42" s="41"/>
      <c r="N42" s="40"/>
      <c r="O42" s="40"/>
      <c r="P42" s="40"/>
      <c r="Q42" s="40"/>
      <c r="R42" s="30"/>
    </row>
    <row r="43" spans="1:21" ht="15.75" customHeight="1" x14ac:dyDescent="0.25">
      <c r="M43" s="41"/>
      <c r="N43" s="40"/>
      <c r="O43" s="40"/>
      <c r="P43" s="40"/>
      <c r="Q43" s="40"/>
      <c r="R43" s="30"/>
    </row>
    <row r="44" spans="1:21" ht="15.75" customHeight="1" x14ac:dyDescent="0.25">
      <c r="M44" s="41"/>
      <c r="N44" s="40"/>
      <c r="O44" s="40"/>
      <c r="P44" s="40"/>
      <c r="Q44" s="40"/>
      <c r="R44" s="30"/>
    </row>
    <row r="45" spans="1:21" ht="15.75" customHeight="1" x14ac:dyDescent="0.25">
      <c r="M45" s="41"/>
      <c r="N45" s="40"/>
      <c r="O45" s="40"/>
      <c r="P45" s="40"/>
      <c r="Q45" s="40"/>
      <c r="R45" s="30"/>
    </row>
    <row r="46" spans="1:21" ht="15.75" customHeight="1" x14ac:dyDescent="0.25">
      <c r="M46" s="41"/>
      <c r="N46" s="40"/>
      <c r="O46" s="40"/>
      <c r="P46" s="40"/>
      <c r="Q46" s="40"/>
      <c r="R46" s="30"/>
    </row>
    <row r="47" spans="1:21" ht="15.75" customHeight="1" x14ac:dyDescent="0.25">
      <c r="M47" s="41"/>
      <c r="N47" s="40"/>
      <c r="O47" s="40"/>
      <c r="P47" s="40"/>
      <c r="Q47" s="40"/>
      <c r="R47" s="30"/>
    </row>
    <row r="48" spans="1:21" ht="15.75" customHeight="1" x14ac:dyDescent="0.25">
      <c r="M48" s="41"/>
      <c r="N48" s="40"/>
      <c r="O48" s="40"/>
      <c r="P48" s="40"/>
      <c r="Q48" s="40"/>
      <c r="R48" s="30"/>
    </row>
    <row r="49" spans="13:18" ht="15.75" customHeight="1" x14ac:dyDescent="0.25">
      <c r="M49" s="41"/>
      <c r="N49" s="40"/>
      <c r="O49" s="40"/>
      <c r="P49" s="40"/>
      <c r="Q49" s="40"/>
      <c r="R49" s="30"/>
    </row>
    <row r="50" spans="13:18" ht="15.75" customHeight="1" x14ac:dyDescent="0.25">
      <c r="M50" s="41"/>
      <c r="N50" s="40"/>
      <c r="O50" s="40"/>
      <c r="P50" s="40"/>
      <c r="Q50" s="40"/>
      <c r="R50" s="30"/>
    </row>
    <row r="51" spans="13:18" ht="15.75" customHeight="1" x14ac:dyDescent="0.25">
      <c r="M51" s="41"/>
      <c r="N51" s="40"/>
      <c r="O51" s="40"/>
      <c r="P51" s="40"/>
      <c r="Q51" s="40"/>
      <c r="R51" s="30"/>
    </row>
    <row r="52" spans="13:18" ht="15.75" customHeight="1" x14ac:dyDescent="0.25">
      <c r="M52" s="41"/>
      <c r="N52" s="40"/>
      <c r="O52" s="40"/>
      <c r="P52" s="40"/>
      <c r="Q52" s="40"/>
      <c r="R52" s="30"/>
    </row>
    <row r="53" spans="13:18" ht="15.75" customHeight="1" x14ac:dyDescent="0.25">
      <c r="M53" s="41"/>
      <c r="N53" s="40"/>
      <c r="O53" s="40"/>
      <c r="P53" s="40"/>
      <c r="Q53" s="40"/>
      <c r="R53" s="30"/>
    </row>
    <row r="54" spans="13:18" ht="15.75" customHeight="1" x14ac:dyDescent="0.25">
      <c r="M54" s="41"/>
      <c r="N54" s="40"/>
      <c r="O54" s="40"/>
      <c r="P54" s="40"/>
      <c r="Q54" s="40"/>
      <c r="R54" s="30"/>
    </row>
    <row r="55" spans="13:18" ht="15.75" customHeight="1" x14ac:dyDescent="0.25">
      <c r="M55" s="41"/>
      <c r="N55" s="40"/>
      <c r="O55" s="40"/>
      <c r="P55" s="40"/>
      <c r="Q55" s="40"/>
      <c r="R55" s="30"/>
    </row>
    <row r="56" spans="13:18" ht="15.75" customHeight="1" x14ac:dyDescent="0.25">
      <c r="M56" s="41"/>
      <c r="N56" s="40"/>
      <c r="O56" s="40"/>
      <c r="P56" s="40"/>
      <c r="Q56" s="40"/>
      <c r="R56" s="30"/>
    </row>
    <row r="57" spans="13:18" ht="15.75" customHeight="1" x14ac:dyDescent="0.25">
      <c r="M57" s="41"/>
      <c r="N57" s="40"/>
      <c r="O57" s="40"/>
      <c r="P57" s="40"/>
      <c r="Q57" s="40"/>
      <c r="R57" s="30"/>
    </row>
    <row r="58" spans="13:18" ht="15.75" customHeight="1" x14ac:dyDescent="0.25">
      <c r="M58" s="41"/>
      <c r="N58" s="40"/>
      <c r="O58" s="40"/>
      <c r="P58" s="40"/>
      <c r="Q58" s="40"/>
      <c r="R58" s="30"/>
    </row>
    <row r="59" spans="13:18" ht="15.75" customHeight="1" x14ac:dyDescent="0.25">
      <c r="M59" s="41"/>
      <c r="N59" s="40"/>
      <c r="O59" s="40"/>
      <c r="P59" s="40"/>
      <c r="Q59" s="40"/>
      <c r="R59" s="30"/>
    </row>
    <row r="60" spans="13:18" ht="15.75" customHeight="1" x14ac:dyDescent="0.25">
      <c r="M60" s="41"/>
      <c r="N60" s="40"/>
      <c r="O60" s="40"/>
      <c r="P60" s="40"/>
      <c r="Q60" s="40"/>
      <c r="R60" s="30"/>
    </row>
    <row r="61" spans="13:18" ht="15.75" customHeight="1" x14ac:dyDescent="0.25">
      <c r="M61" s="41"/>
      <c r="N61" s="40"/>
      <c r="O61" s="40"/>
      <c r="P61" s="40"/>
      <c r="Q61" s="40"/>
      <c r="R61" s="30"/>
    </row>
    <row r="62" spans="13:18" ht="15.75" customHeight="1" x14ac:dyDescent="0.25">
      <c r="M62" s="41"/>
      <c r="N62" s="40"/>
      <c r="O62" s="40"/>
      <c r="P62" s="40"/>
      <c r="Q62" s="40"/>
      <c r="R62" s="30"/>
    </row>
    <row r="63" spans="13:18" ht="15.75" customHeight="1" x14ac:dyDescent="0.25">
      <c r="M63" s="41"/>
      <c r="N63" s="40"/>
      <c r="O63" s="40"/>
      <c r="P63" s="40"/>
      <c r="Q63" s="40"/>
      <c r="R63" s="30"/>
    </row>
    <row r="64" spans="13:18" ht="15.75" customHeight="1" x14ac:dyDescent="0.25">
      <c r="M64" s="41"/>
      <c r="N64" s="40"/>
      <c r="O64" s="40"/>
      <c r="P64" s="40"/>
      <c r="Q64" s="40"/>
      <c r="R64" s="30"/>
    </row>
    <row r="65" spans="13:18" ht="15.75" customHeight="1" x14ac:dyDescent="0.25">
      <c r="M65" s="41"/>
      <c r="N65" s="40"/>
      <c r="O65" s="40"/>
      <c r="P65" s="40"/>
      <c r="Q65" s="40"/>
      <c r="R65" s="30"/>
    </row>
    <row r="66" spans="13:18" ht="15.75" customHeight="1" x14ac:dyDescent="0.25">
      <c r="M66" s="41"/>
      <c r="N66" s="40"/>
      <c r="O66" s="40"/>
      <c r="P66" s="40"/>
      <c r="Q66" s="40"/>
      <c r="R66" s="30"/>
    </row>
    <row r="67" spans="13:18" ht="15.75" customHeight="1" x14ac:dyDescent="0.25">
      <c r="M67" s="41"/>
      <c r="N67" s="40"/>
      <c r="O67" s="40"/>
      <c r="P67" s="40"/>
      <c r="Q67" s="40"/>
      <c r="R67" s="30"/>
    </row>
    <row r="68" spans="13:18" ht="15.75" customHeight="1" x14ac:dyDescent="0.25">
      <c r="M68" s="41"/>
      <c r="N68" s="40"/>
      <c r="O68" s="40"/>
      <c r="P68" s="40"/>
      <c r="Q68" s="40"/>
      <c r="R68" s="30"/>
    </row>
    <row r="69" spans="13:18" ht="15.75" customHeight="1" x14ac:dyDescent="0.25">
      <c r="M69" s="41"/>
      <c r="N69" s="40"/>
      <c r="O69" s="40"/>
      <c r="P69" s="40"/>
      <c r="Q69" s="40"/>
      <c r="R69" s="30"/>
    </row>
    <row r="70" spans="13:18" ht="15.75" customHeight="1" x14ac:dyDescent="0.25">
      <c r="M70" s="41"/>
      <c r="N70" s="40"/>
      <c r="O70" s="40"/>
      <c r="P70" s="40"/>
      <c r="Q70" s="40"/>
      <c r="R70" s="30"/>
    </row>
    <row r="71" spans="13:18" ht="15.75" customHeight="1" x14ac:dyDescent="0.25">
      <c r="M71" s="41"/>
      <c r="N71" s="40"/>
      <c r="O71" s="40"/>
      <c r="P71" s="40"/>
      <c r="Q71" s="40"/>
      <c r="R71" s="30"/>
    </row>
    <row r="72" spans="13:18" ht="15.75" customHeight="1" x14ac:dyDescent="0.25">
      <c r="M72" s="41"/>
      <c r="N72" s="40"/>
      <c r="O72" s="40"/>
      <c r="P72" s="40"/>
      <c r="Q72" s="40"/>
      <c r="R72" s="30"/>
    </row>
    <row r="73" spans="13:18" ht="15.75" customHeight="1" x14ac:dyDescent="0.25">
      <c r="M73" s="41"/>
      <c r="N73" s="40"/>
      <c r="O73" s="40"/>
      <c r="P73" s="40"/>
      <c r="Q73" s="40"/>
      <c r="R73" s="30"/>
    </row>
    <row r="74" spans="13:18" ht="15.75" customHeight="1" x14ac:dyDescent="0.25">
      <c r="M74" s="41"/>
      <c r="N74" s="40"/>
      <c r="O74" s="40"/>
      <c r="P74" s="40"/>
      <c r="Q74" s="40"/>
      <c r="R74" s="30"/>
    </row>
    <row r="75" spans="13:18" ht="15.75" customHeight="1" x14ac:dyDescent="0.25">
      <c r="M75" s="41"/>
      <c r="N75" s="40"/>
      <c r="O75" s="40"/>
      <c r="P75" s="40"/>
      <c r="Q75" s="40"/>
      <c r="R75" s="30"/>
    </row>
    <row r="76" spans="13:18" ht="15" customHeight="1" x14ac:dyDescent="0.25">
      <c r="M76" s="41"/>
    </row>
    <row r="77" spans="13:18" ht="15" customHeight="1" x14ac:dyDescent="0.25">
      <c r="M77" s="41"/>
    </row>
    <row r="78" spans="13:18" ht="15" customHeight="1" x14ac:dyDescent="0.25">
      <c r="M78" s="40"/>
    </row>
    <row r="79" spans="13:18" ht="15" customHeight="1" x14ac:dyDescent="0.25">
      <c r="M79" s="40"/>
    </row>
    <row r="80" spans="13:18" ht="15" customHeight="1" x14ac:dyDescent="0.25">
      <c r="M80" s="40"/>
    </row>
    <row r="83" spans="1:1" ht="15.75" customHeight="1" x14ac:dyDescent="0.25">
      <c r="A83" s="42"/>
    </row>
    <row r="84" spans="1:1" ht="15.75" customHeight="1" x14ac:dyDescent="0.25">
      <c r="A84" s="42"/>
    </row>
    <row r="85" spans="1:1" ht="15.75" customHeight="1" x14ac:dyDescent="0.25">
      <c r="A85" s="42"/>
    </row>
    <row r="86" spans="1:1" ht="15.75" customHeight="1" x14ac:dyDescent="0.25">
      <c r="A86" s="42"/>
    </row>
    <row r="87" spans="1:1" ht="15.75" customHeight="1" x14ac:dyDescent="0.25">
      <c r="A87" s="42"/>
    </row>
    <row r="88" spans="1:1" ht="15.75" customHeight="1" x14ac:dyDescent="0.25">
      <c r="A88" s="42"/>
    </row>
    <row r="89" spans="1:1" ht="15.75" customHeight="1" x14ac:dyDescent="0.25">
      <c r="A89" s="42"/>
    </row>
    <row r="90" spans="1:1" ht="15.75" customHeight="1" x14ac:dyDescent="0.25">
      <c r="A90" s="42"/>
    </row>
    <row r="91" spans="1:1" ht="15.75" customHeight="1" x14ac:dyDescent="0.25">
      <c r="A91" s="42"/>
    </row>
    <row r="92" spans="1:1" ht="15.75" customHeight="1" x14ac:dyDescent="0.25">
      <c r="A92" s="42"/>
    </row>
    <row r="93" spans="1:1" ht="15.75" customHeight="1" x14ac:dyDescent="0.25">
      <c r="A93" s="42"/>
    </row>
    <row r="94" spans="1:1" ht="15.75" customHeight="1" x14ac:dyDescent="0.25">
      <c r="A94" s="42"/>
    </row>
    <row r="95" spans="1:1" ht="15.75" customHeight="1" x14ac:dyDescent="0.25">
      <c r="A95" s="42"/>
    </row>
    <row r="96" spans="1:1" ht="15.75" customHeight="1" x14ac:dyDescent="0.25">
      <c r="A96" s="42"/>
    </row>
    <row r="97" spans="1:1" ht="15.75" customHeight="1" x14ac:dyDescent="0.25">
      <c r="A97" s="42"/>
    </row>
    <row r="98" spans="1:1" ht="15.75" customHeight="1" x14ac:dyDescent="0.25">
      <c r="A98" s="42"/>
    </row>
    <row r="99" spans="1:1" ht="15.75" customHeight="1" x14ac:dyDescent="0.25">
      <c r="A99" s="42"/>
    </row>
    <row r="100" spans="1:1" ht="15.75" customHeight="1" x14ac:dyDescent="0.25">
      <c r="A100" s="42"/>
    </row>
  </sheetData>
  <mergeCells count="4">
    <mergeCell ref="D36:E36"/>
    <mergeCell ref="F36:G36"/>
    <mergeCell ref="E39:F39"/>
    <mergeCell ref="E40:F40"/>
  </mergeCells>
  <conditionalFormatting sqref="A27:C32 E27:K32">
    <cfRule type="expression" dxfId="154" priority="6">
      <formula>$R27&gt;5</formula>
    </cfRule>
  </conditionalFormatting>
  <conditionalFormatting sqref="A2:F2 H2:L26 A3:C26 E3:F26 D3:D32 G5:G26">
    <cfRule type="expression" dxfId="153" priority="1">
      <formula>$S2&gt;5</formula>
    </cfRule>
  </conditionalFormatting>
  <pageMargins left="0.7" right="0.7" top="0.75" bottom="0.75" header="0" footer="0"/>
  <pageSetup orientation="landscape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391FE-2566-431A-8EB1-4587CF03D99D}">
  <dimension ref="A2:V52"/>
  <sheetViews>
    <sheetView zoomScaleNormal="60" zoomScaleSheetLayoutView="100" workbookViewId="0">
      <selection activeCell="O13" sqref="O13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2" spans="1:22" ht="15.75" thickBot="1" x14ac:dyDescent="0.3">
      <c r="A2" s="650" t="s">
        <v>0</v>
      </c>
      <c r="B2" s="650" t="s">
        <v>1</v>
      </c>
      <c r="C2" s="650" t="s">
        <v>127</v>
      </c>
      <c r="D2" s="650" t="s">
        <v>128</v>
      </c>
      <c r="E2" s="650" t="s">
        <v>286</v>
      </c>
      <c r="F2" s="650" t="s">
        <v>317</v>
      </c>
      <c r="G2" s="650" t="s">
        <v>285</v>
      </c>
      <c r="H2" s="650" t="s">
        <v>4</v>
      </c>
      <c r="I2" s="650" t="s">
        <v>5</v>
      </c>
      <c r="J2" s="650" t="s">
        <v>6</v>
      </c>
      <c r="K2" s="650" t="s">
        <v>7</v>
      </c>
      <c r="L2" s="650" t="s">
        <v>265</v>
      </c>
      <c r="M2" s="650" t="s">
        <v>8</v>
      </c>
      <c r="N2" s="650" t="s">
        <v>129</v>
      </c>
      <c r="O2" s="650" t="s">
        <v>9</v>
      </c>
      <c r="P2" s="650" t="s">
        <v>155</v>
      </c>
      <c r="Q2" s="650" t="s">
        <v>10</v>
      </c>
      <c r="R2" s="650" t="s">
        <v>11</v>
      </c>
      <c r="S2" s="650" t="s">
        <v>12</v>
      </c>
      <c r="T2" s="650" t="s">
        <v>13</v>
      </c>
      <c r="U2" s="650" t="s">
        <v>14</v>
      </c>
    </row>
    <row r="3" spans="1:22" ht="15.75" thickBot="1" x14ac:dyDescent="0.3">
      <c r="A3" s="1080"/>
      <c r="B3" s="656" t="str">
        <f t="shared" ref="B3:B36" si="0">CHOOSE(WEEKDAY(V3),"Po","Út","St","Čt","Pá","So","Ne")</f>
        <v>So</v>
      </c>
      <c r="C3" s="724">
        <f t="shared" ref="C3:C36" si="1">G3-E3-F3</f>
        <v>0</v>
      </c>
      <c r="D3" s="1079">
        <f t="shared" ref="D3:D36" si="2">(N3*C3)*24</f>
        <v>0</v>
      </c>
      <c r="E3" s="724"/>
      <c r="F3" s="724"/>
      <c r="G3" s="724"/>
      <c r="H3" s="654"/>
      <c r="I3" s="657"/>
      <c r="J3" s="654"/>
      <c r="K3" s="656"/>
      <c r="L3" s="654"/>
      <c r="M3" s="657"/>
      <c r="N3" s="713"/>
      <c r="O3" s="1081">
        <f>(O5+O7)</f>
        <v>0</v>
      </c>
      <c r="P3" s="656">
        <f>P5+P7</f>
        <v>0</v>
      </c>
      <c r="Q3" s="853">
        <f>'03hod24'!Q6</f>
        <v>0</v>
      </c>
      <c r="R3" s="644"/>
      <c r="S3" s="644" t="str">
        <f>'03hod24'!S6</f>
        <v xml:space="preserve">Výplata za Březen </v>
      </c>
      <c r="T3" s="875" t="str">
        <f>'03hod24'!T6</f>
        <v>xx.04.2023</v>
      </c>
      <c r="U3" s="722">
        <f>T8*20</f>
        <v>0</v>
      </c>
      <c r="V3" s="643">
        <f t="shared" ref="V3:V36" si="3">WEEKDAY(A3,2)</f>
        <v>6</v>
      </c>
    </row>
    <row r="4" spans="1:22" x14ac:dyDescent="0.25">
      <c r="A4" s="1080"/>
      <c r="B4" s="657" t="str">
        <f t="shared" si="0"/>
        <v>So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654" t="s">
        <v>19</v>
      </c>
      <c r="P4" s="657" t="s">
        <v>19</v>
      </c>
      <c r="Q4" s="738">
        <v>0</v>
      </c>
      <c r="R4" s="611" t="s">
        <v>48</v>
      </c>
      <c r="S4" s="611" t="s">
        <v>48</v>
      </c>
      <c r="T4" s="874"/>
      <c r="U4" s="1178"/>
      <c r="V4" s="643">
        <f t="shared" si="3"/>
        <v>6</v>
      </c>
    </row>
    <row r="5" spans="1:22" x14ac:dyDescent="0.25">
      <c r="A5" s="1080"/>
      <c r="B5" s="657" t="str">
        <f t="shared" si="0"/>
        <v>So</v>
      </c>
      <c r="C5" s="724">
        <f t="shared" si="1"/>
        <v>0</v>
      </c>
      <c r="D5" s="1079">
        <f t="shared" si="2"/>
        <v>0</v>
      </c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1082">
        <f>O41*24</f>
        <v>0</v>
      </c>
      <c r="P5" s="657">
        <v>0</v>
      </c>
      <c r="Q5" s="738">
        <v>0</v>
      </c>
      <c r="R5" s="611" t="s">
        <v>17</v>
      </c>
      <c r="S5" s="611" t="s">
        <v>158</v>
      </c>
      <c r="T5" s="646"/>
      <c r="U5" s="1178"/>
      <c r="V5" s="643">
        <f t="shared" si="3"/>
        <v>6</v>
      </c>
    </row>
    <row r="6" spans="1:22" x14ac:dyDescent="0.25">
      <c r="A6" s="1080"/>
      <c r="B6" s="657" t="str">
        <f t="shared" si="0"/>
        <v>So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654" t="s">
        <v>14</v>
      </c>
      <c r="P6" s="657" t="s">
        <v>14</v>
      </c>
      <c r="Q6" s="738">
        <v>0</v>
      </c>
      <c r="R6" s="611" t="s">
        <v>17</v>
      </c>
      <c r="S6" s="611" t="s">
        <v>595</v>
      </c>
      <c r="T6" s="646" t="s">
        <v>599</v>
      </c>
      <c r="U6" s="1178"/>
      <c r="V6" s="643">
        <f t="shared" si="3"/>
        <v>6</v>
      </c>
    </row>
    <row r="7" spans="1:22" ht="15.75" thickBot="1" x14ac:dyDescent="0.3">
      <c r="A7" s="1080"/>
      <c r="B7" s="657" t="str">
        <f t="shared" si="0"/>
        <v>So</v>
      </c>
      <c r="C7" s="724">
        <f t="shared" si="1"/>
        <v>0</v>
      </c>
      <c r="D7" s="1079">
        <f t="shared" si="2"/>
        <v>0</v>
      </c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1082">
        <f>O42*24</f>
        <v>0</v>
      </c>
      <c r="P7" s="657">
        <v>0</v>
      </c>
      <c r="Q7" s="712" t="s">
        <v>134</v>
      </c>
      <c r="R7" s="647"/>
      <c r="S7" s="647" t="s">
        <v>48</v>
      </c>
      <c r="T7" s="648"/>
      <c r="U7" s="1178"/>
      <c r="V7" s="643">
        <f t="shared" si="3"/>
        <v>6</v>
      </c>
    </row>
    <row r="8" spans="1:22" x14ac:dyDescent="0.25">
      <c r="A8" s="1080"/>
      <c r="B8" s="657" t="str">
        <f t="shared" si="0"/>
        <v>So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20</v>
      </c>
      <c r="P8" s="1026" t="s">
        <v>20</v>
      </c>
      <c r="Q8" s="721">
        <f>Q4+Q5</f>
        <v>0</v>
      </c>
      <c r="R8" s="1178"/>
      <c r="S8" s="1178"/>
      <c r="T8" s="1178"/>
      <c r="U8" s="1178"/>
      <c r="V8" s="643">
        <f t="shared" si="3"/>
        <v>6</v>
      </c>
    </row>
    <row r="9" spans="1:22" x14ac:dyDescent="0.25">
      <c r="A9" s="1080"/>
      <c r="B9" s="657" t="str">
        <f t="shared" si="0"/>
        <v>So</v>
      </c>
      <c r="C9" s="724">
        <f t="shared" si="1"/>
        <v>0</v>
      </c>
      <c r="D9" s="1079">
        <f t="shared" si="2"/>
        <v>0</v>
      </c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509</v>
      </c>
      <c r="P9" s="1026" t="s">
        <v>509</v>
      </c>
      <c r="Q9" s="657" t="s">
        <v>229</v>
      </c>
      <c r="R9" s="1178"/>
      <c r="S9" s="1178"/>
      <c r="T9" s="1178"/>
      <c r="U9" s="1178"/>
      <c r="V9" s="643">
        <f t="shared" si="3"/>
        <v>6</v>
      </c>
    </row>
    <row r="10" spans="1:22" x14ac:dyDescent="0.25">
      <c r="A10" s="1080"/>
      <c r="B10" s="657" t="str">
        <f t="shared" si="0"/>
        <v>So</v>
      </c>
      <c r="C10" s="724">
        <f t="shared" si="1"/>
        <v>0</v>
      </c>
      <c r="D10" s="1079">
        <f t="shared" si="2"/>
        <v>0</v>
      </c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654" t="s">
        <v>23</v>
      </c>
      <c r="P10" s="1026" t="s">
        <v>23</v>
      </c>
      <c r="Q10" s="657">
        <f>SUM(Q3:Q5)</f>
        <v>0</v>
      </c>
      <c r="R10" s="1178"/>
      <c r="S10" s="1178"/>
      <c r="T10" s="1178"/>
      <c r="U10" s="1178"/>
      <c r="V10" s="643">
        <f t="shared" si="3"/>
        <v>6</v>
      </c>
    </row>
    <row r="11" spans="1:22" x14ac:dyDescent="0.25">
      <c r="A11" s="1080"/>
      <c r="B11" s="657" t="str">
        <f t="shared" si="0"/>
        <v>So</v>
      </c>
      <c r="C11" s="724">
        <f t="shared" si="1"/>
        <v>0</v>
      </c>
      <c r="D11" s="1079">
        <f t="shared" si="2"/>
        <v>0</v>
      </c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1083">
        <f>(O3*380)+U3</f>
        <v>0</v>
      </c>
      <c r="P11" s="1088">
        <f>SUM(P3*380)</f>
        <v>0</v>
      </c>
      <c r="Q11" s="719"/>
      <c r="R11" s="1178"/>
      <c r="S11" s="1178"/>
      <c r="T11" s="1178"/>
      <c r="U11" s="1178"/>
      <c r="V11" s="643">
        <f t="shared" si="3"/>
        <v>6</v>
      </c>
    </row>
    <row r="12" spans="1:22" x14ac:dyDescent="0.25">
      <c r="A12" s="1080"/>
      <c r="B12" s="657" t="str">
        <f t="shared" si="0"/>
        <v>So</v>
      </c>
      <c r="C12" s="724">
        <f t="shared" si="1"/>
        <v>0</v>
      </c>
      <c r="D12" s="1079">
        <f t="shared" si="2"/>
        <v>0</v>
      </c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654" t="s">
        <v>361</v>
      </c>
      <c r="P12" s="1026" t="s">
        <v>361</v>
      </c>
      <c r="Q12" s="1178"/>
      <c r="R12" s="1178"/>
      <c r="S12" s="1178"/>
      <c r="T12" s="1178"/>
      <c r="U12" s="1178"/>
      <c r="V12" s="643">
        <f t="shared" si="3"/>
        <v>6</v>
      </c>
    </row>
    <row r="13" spans="1:22" x14ac:dyDescent="0.25">
      <c r="A13" s="1080"/>
      <c r="B13" s="657" t="str">
        <f t="shared" si="0"/>
        <v>So</v>
      </c>
      <c r="C13" s="724">
        <f t="shared" si="1"/>
        <v>0</v>
      </c>
      <c r="D13" s="1079">
        <f t="shared" si="2"/>
        <v>0</v>
      </c>
      <c r="E13" s="724"/>
      <c r="F13" s="724"/>
      <c r="G13" s="724"/>
      <c r="H13" s="654"/>
      <c r="I13" s="657"/>
      <c r="J13" s="654"/>
      <c r="K13" s="657"/>
      <c r="L13" s="654"/>
      <c r="M13" s="657"/>
      <c r="N13" s="714"/>
      <c r="O13" s="1083">
        <f>(O11+O21+O19-O23)-O15-P25</f>
        <v>0</v>
      </c>
      <c r="P13" s="1088">
        <f>(P11+P19+P21-P23)-P15-P25</f>
        <v>0</v>
      </c>
      <c r="Q13" s="1178"/>
      <c r="R13" s="1178"/>
      <c r="S13" s="1178"/>
      <c r="T13" s="1178"/>
      <c r="U13" s="1178"/>
      <c r="V13" s="643">
        <f t="shared" si="3"/>
        <v>6</v>
      </c>
    </row>
    <row r="14" spans="1:22" x14ac:dyDescent="0.25">
      <c r="A14" s="1080"/>
      <c r="B14" s="657" t="str">
        <f t="shared" si="0"/>
        <v>So</v>
      </c>
      <c r="C14" s="724">
        <f t="shared" si="1"/>
        <v>0</v>
      </c>
      <c r="D14" s="1079">
        <f t="shared" si="2"/>
        <v>0</v>
      </c>
      <c r="E14" s="724"/>
      <c r="F14" s="724"/>
      <c r="G14" s="724"/>
      <c r="H14" s="654"/>
      <c r="I14" s="657"/>
      <c r="J14" s="654"/>
      <c r="K14" s="657"/>
      <c r="L14" s="654"/>
      <c r="M14" s="657"/>
      <c r="N14" s="714"/>
      <c r="O14" s="654" t="s">
        <v>26</v>
      </c>
      <c r="P14" s="1088" t="s">
        <v>26</v>
      </c>
      <c r="Q14" s="1178"/>
      <c r="R14" s="1178"/>
      <c r="S14" s="1178"/>
      <c r="T14" s="1178"/>
      <c r="U14" s="1178"/>
      <c r="V14" s="643">
        <f t="shared" si="3"/>
        <v>6</v>
      </c>
    </row>
    <row r="15" spans="1:22" x14ac:dyDescent="0.25">
      <c r="A15" s="1080"/>
      <c r="B15" s="657" t="str">
        <f t="shared" si="0"/>
        <v>So</v>
      </c>
      <c r="C15" s="724">
        <f t="shared" si="1"/>
        <v>0</v>
      </c>
      <c r="D15" s="1079">
        <f t="shared" si="2"/>
        <v>0</v>
      </c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1083">
        <f>(O17*25.53)</f>
        <v>0</v>
      </c>
      <c r="P15" s="1088">
        <f>(P17*25.53)</f>
        <v>0</v>
      </c>
      <c r="Q15" s="923" t="s">
        <v>458</v>
      </c>
      <c r="R15" s="1004">
        <f>P15+P23-P19</f>
        <v>0</v>
      </c>
      <c r="S15" s="1007"/>
      <c r="T15" s="923" t="s">
        <v>462</v>
      </c>
      <c r="U15" s="1004">
        <f>P15+P23</f>
        <v>0</v>
      </c>
      <c r="V15" s="643">
        <f t="shared" si="3"/>
        <v>6</v>
      </c>
    </row>
    <row r="16" spans="1:22" x14ac:dyDescent="0.25">
      <c r="A16" s="1080"/>
      <c r="B16" s="657" t="str">
        <f t="shared" si="0"/>
        <v>So</v>
      </c>
      <c r="C16" s="724">
        <f t="shared" si="1"/>
        <v>0</v>
      </c>
      <c r="D16" s="1079">
        <f t="shared" si="2"/>
        <v>0</v>
      </c>
      <c r="E16" s="724"/>
      <c r="F16" s="724"/>
      <c r="G16" s="724"/>
      <c r="H16" s="654"/>
      <c r="I16" s="657"/>
      <c r="J16" s="654"/>
      <c r="K16" s="657"/>
      <c r="L16" s="654"/>
      <c r="M16" s="657"/>
      <c r="N16" s="714"/>
      <c r="O16" s="654" t="s">
        <v>29</v>
      </c>
      <c r="P16" s="1026" t="s">
        <v>29</v>
      </c>
      <c r="Q16" s="1179" t="s">
        <v>459</v>
      </c>
      <c r="R16" s="1180">
        <f>P11</f>
        <v>0</v>
      </c>
      <c r="S16" s="1008"/>
      <c r="T16" s="1179" t="s">
        <v>463</v>
      </c>
      <c r="U16" s="1180">
        <f>P11+P19+P21+O29</f>
        <v>0</v>
      </c>
      <c r="V16" s="643">
        <f t="shared" si="3"/>
        <v>6</v>
      </c>
    </row>
    <row r="17" spans="1:22" x14ac:dyDescent="0.25">
      <c r="A17" s="1080"/>
      <c r="B17" s="657" t="str">
        <f t="shared" si="0"/>
        <v>So</v>
      </c>
      <c r="C17" s="724">
        <f t="shared" si="1"/>
        <v>0</v>
      </c>
      <c r="D17" s="1079">
        <f t="shared" si="2"/>
        <v>0</v>
      </c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1154">
        <f>MMcashRR!O44</f>
        <v>0</v>
      </c>
      <c r="P17" s="1089">
        <v>0</v>
      </c>
      <c r="Q17" s="1179"/>
      <c r="R17" s="1181">
        <f>R16-R15</f>
        <v>0</v>
      </c>
      <c r="S17" s="1008"/>
      <c r="T17" s="1179" t="s">
        <v>513</v>
      </c>
      <c r="U17" s="1180">
        <f>U16-U15</f>
        <v>0</v>
      </c>
      <c r="V17" s="643">
        <f t="shared" si="3"/>
        <v>6</v>
      </c>
    </row>
    <row r="18" spans="1:22" x14ac:dyDescent="0.25">
      <c r="A18" s="1080"/>
      <c r="B18" s="657" t="str">
        <f t="shared" si="0"/>
        <v>So</v>
      </c>
      <c r="C18" s="724">
        <f t="shared" si="1"/>
        <v>0</v>
      </c>
      <c r="D18" s="1079">
        <f t="shared" si="2"/>
        <v>0</v>
      </c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654" t="s">
        <v>31</v>
      </c>
      <c r="P18" s="1026" t="s">
        <v>31</v>
      </c>
      <c r="Q18" s="1180">
        <f>R17-Q6-Q8</f>
        <v>0</v>
      </c>
      <c r="R18" s="1179"/>
      <c r="S18" s="1009"/>
      <c r="T18" s="1179" t="s">
        <v>514</v>
      </c>
      <c r="U18" s="1180">
        <f>U17-Q6-Q8</f>
        <v>0</v>
      </c>
      <c r="V18" s="643">
        <f t="shared" si="3"/>
        <v>6</v>
      </c>
    </row>
    <row r="19" spans="1:22" x14ac:dyDescent="0.25">
      <c r="A19" s="1080"/>
      <c r="B19" s="657" t="str">
        <f t="shared" si="0"/>
        <v>So</v>
      </c>
      <c r="C19" s="724">
        <f t="shared" si="1"/>
        <v>0</v>
      </c>
      <c r="D19" s="1079">
        <f t="shared" si="2"/>
        <v>0</v>
      </c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/>
      <c r="P19" s="1088"/>
      <c r="Q19" s="1179"/>
      <c r="R19" s="1179"/>
      <c r="S19" s="1008"/>
      <c r="T19" s="1179"/>
      <c r="U19" s="1179"/>
      <c r="V19" s="643">
        <f t="shared" si="3"/>
        <v>6</v>
      </c>
    </row>
    <row r="20" spans="1:22" x14ac:dyDescent="0.25">
      <c r="A20" s="1080"/>
      <c r="B20" s="657" t="str">
        <f t="shared" si="0"/>
        <v>So</v>
      </c>
      <c r="C20" s="724">
        <f t="shared" si="1"/>
        <v>0</v>
      </c>
      <c r="D20" s="1079">
        <f t="shared" si="2"/>
        <v>0</v>
      </c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 t="s">
        <v>33</v>
      </c>
      <c r="P20" s="1088" t="s">
        <v>33</v>
      </c>
      <c r="Q20" s="1179"/>
      <c r="R20" s="1179"/>
      <c r="S20" s="1008"/>
      <c r="T20" s="1179"/>
      <c r="U20" s="1179"/>
      <c r="V20" s="643">
        <f t="shared" si="3"/>
        <v>6</v>
      </c>
    </row>
    <row r="21" spans="1:22" x14ac:dyDescent="0.25">
      <c r="A21" s="1080"/>
      <c r="B21" s="657" t="str">
        <f t="shared" si="0"/>
        <v>So</v>
      </c>
      <c r="C21" s="724">
        <f t="shared" si="1"/>
        <v>0</v>
      </c>
      <c r="D21" s="1079">
        <f t="shared" si="2"/>
        <v>0</v>
      </c>
      <c r="E21" s="724"/>
      <c r="F21" s="724"/>
      <c r="G21" s="724"/>
      <c r="H21" s="654"/>
      <c r="I21" s="657"/>
      <c r="J21" s="654"/>
      <c r="K21" s="657"/>
      <c r="L21" s="654"/>
      <c r="M21" s="657"/>
      <c r="N21" s="714"/>
      <c r="O21" s="1083">
        <v>0</v>
      </c>
      <c r="P21" s="1088">
        <v>0</v>
      </c>
      <c r="Q21" s="1179"/>
      <c r="R21" s="1179"/>
      <c r="S21" s="1008"/>
      <c r="T21" s="1179"/>
      <c r="U21" s="1179"/>
      <c r="V21" s="643">
        <f t="shared" si="3"/>
        <v>6</v>
      </c>
    </row>
    <row r="22" spans="1:22" x14ac:dyDescent="0.25">
      <c r="A22" s="1080"/>
      <c r="B22" s="657" t="str">
        <f t="shared" si="0"/>
        <v>So</v>
      </c>
      <c r="C22" s="724">
        <f t="shared" si="1"/>
        <v>0</v>
      </c>
      <c r="D22" s="1079">
        <f t="shared" si="2"/>
        <v>0</v>
      </c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 t="s">
        <v>34</v>
      </c>
      <c r="P22" s="1088" t="s">
        <v>34</v>
      </c>
      <c r="Q22" s="1179"/>
      <c r="R22" s="1179"/>
      <c r="S22" s="1008"/>
      <c r="T22" s="1179"/>
      <c r="U22" s="1179"/>
      <c r="V22" s="643">
        <f t="shared" si="3"/>
        <v>6</v>
      </c>
    </row>
    <row r="23" spans="1:22" x14ac:dyDescent="0.25">
      <c r="A23" s="1080"/>
      <c r="B23" s="657" t="str">
        <f t="shared" si="0"/>
        <v>So</v>
      </c>
      <c r="C23" s="724">
        <f t="shared" si="1"/>
        <v>0</v>
      </c>
      <c r="D23" s="1079">
        <f t="shared" si="2"/>
        <v>0</v>
      </c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3">
        <v>0</v>
      </c>
      <c r="P23" s="1088">
        <v>0</v>
      </c>
      <c r="Q23" s="1179"/>
      <c r="R23" s="1017"/>
      <c r="S23" s="1178"/>
      <c r="T23" s="1179"/>
      <c r="U23" s="1179"/>
      <c r="V23" s="643">
        <f t="shared" si="3"/>
        <v>6</v>
      </c>
    </row>
    <row r="24" spans="1:22" x14ac:dyDescent="0.25">
      <c r="A24" s="1080"/>
      <c r="B24" s="657" t="str">
        <f t="shared" si="0"/>
        <v>So</v>
      </c>
      <c r="C24" s="724">
        <f t="shared" si="1"/>
        <v>0</v>
      </c>
      <c r="D24" s="1079">
        <f t="shared" si="2"/>
        <v>0</v>
      </c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5" t="s">
        <v>364</v>
      </c>
      <c r="P24" s="1090" t="s">
        <v>363</v>
      </c>
      <c r="Q24" s="1182">
        <f>Q18-P25</f>
        <v>0</v>
      </c>
      <c r="R24" s="1018"/>
      <c r="S24" s="1182">
        <f>U18-O27</f>
        <v>0</v>
      </c>
      <c r="T24" s="1179"/>
      <c r="U24" s="1179"/>
      <c r="V24" s="643">
        <f t="shared" si="3"/>
        <v>6</v>
      </c>
    </row>
    <row r="25" spans="1:22" x14ac:dyDescent="0.25">
      <c r="A25" s="1080"/>
      <c r="B25" s="657" t="str">
        <f t="shared" si="0"/>
        <v>So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1086">
        <f>P13-Q6</f>
        <v>0</v>
      </c>
      <c r="P25" s="1088">
        <f>O27-O29</f>
        <v>0</v>
      </c>
      <c r="Q25" s="1020"/>
      <c r="R25" s="1019"/>
      <c r="S25" s="1006"/>
      <c r="T25" s="1006"/>
      <c r="U25" s="1006"/>
      <c r="V25" s="643">
        <f t="shared" si="3"/>
        <v>6</v>
      </c>
    </row>
    <row r="26" spans="1:22" x14ac:dyDescent="0.25">
      <c r="A26" s="1080"/>
      <c r="B26" s="657" t="str">
        <f t="shared" si="0"/>
        <v>So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654" t="s">
        <v>372</v>
      </c>
      <c r="P26" s="1026"/>
      <c r="Q26" s="1178"/>
      <c r="R26" s="1178"/>
      <c r="S26" s="1178"/>
      <c r="T26" s="1178"/>
      <c r="U26" s="1178"/>
      <c r="V26" s="643">
        <f t="shared" si="3"/>
        <v>6</v>
      </c>
    </row>
    <row r="27" spans="1:22" x14ac:dyDescent="0.25">
      <c r="A27" s="1080"/>
      <c r="B27" s="657" t="str">
        <f t="shared" si="0"/>
        <v>So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1083">
        <v>0</v>
      </c>
      <c r="P27" s="1088"/>
      <c r="Q27" s="1178"/>
      <c r="R27" s="1178"/>
      <c r="S27" s="1178"/>
      <c r="T27" s="1178"/>
      <c r="U27" s="1178"/>
      <c r="V27" s="643">
        <f t="shared" si="3"/>
        <v>6</v>
      </c>
    </row>
    <row r="28" spans="1:22" x14ac:dyDescent="0.25">
      <c r="A28" s="1080"/>
      <c r="B28" s="657" t="str">
        <f t="shared" si="0"/>
        <v>So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654" t="s">
        <v>373</v>
      </c>
      <c r="P28" s="1026"/>
      <c r="Q28" s="1178"/>
      <c r="R28" s="1178"/>
      <c r="S28" s="1178"/>
      <c r="T28" s="1178"/>
      <c r="U28" s="1178"/>
      <c r="V28" s="643">
        <f t="shared" si="3"/>
        <v>6</v>
      </c>
    </row>
    <row r="29" spans="1:22" x14ac:dyDescent="0.25">
      <c r="A29" s="1080"/>
      <c r="B29" s="657" t="str">
        <f t="shared" si="0"/>
        <v>So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>
        <f>'03hod24'!O27</f>
        <v>0</v>
      </c>
      <c r="P29" s="1026"/>
      <c r="Q29" s="1178"/>
      <c r="R29" s="1178"/>
      <c r="S29" s="1178"/>
      <c r="T29" s="1178"/>
      <c r="U29" s="1178"/>
      <c r="V29" s="643">
        <f t="shared" si="3"/>
        <v>6</v>
      </c>
    </row>
    <row r="30" spans="1:22" x14ac:dyDescent="0.25">
      <c r="A30" s="1080"/>
      <c r="B30" s="657" t="str">
        <f t="shared" si="0"/>
        <v>So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1083"/>
      <c r="P30" s="1083"/>
      <c r="Q30" s="1178"/>
      <c r="R30" s="1178"/>
      <c r="S30" s="1178"/>
      <c r="T30" s="1178"/>
      <c r="U30" s="1178"/>
      <c r="V30" s="643">
        <f t="shared" si="3"/>
        <v>6</v>
      </c>
    </row>
    <row r="31" spans="1:22" x14ac:dyDescent="0.25">
      <c r="A31" s="1080"/>
      <c r="B31" s="657" t="str">
        <f t="shared" si="0"/>
        <v>So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918"/>
      <c r="P31" s="1091"/>
      <c r="Q31" s="1178"/>
      <c r="R31" s="1178"/>
      <c r="S31" s="1178"/>
      <c r="T31" s="1178"/>
      <c r="U31" s="1178"/>
      <c r="V31" s="643">
        <f t="shared" si="3"/>
        <v>6</v>
      </c>
    </row>
    <row r="32" spans="1:22" x14ac:dyDescent="0.25">
      <c r="A32" s="1080"/>
      <c r="B32" s="657" t="str">
        <f t="shared" si="0"/>
        <v>So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1178"/>
      <c r="R32" s="1178"/>
      <c r="S32" s="1178"/>
      <c r="T32" s="1178"/>
      <c r="U32" s="1178"/>
      <c r="V32" s="643">
        <f t="shared" si="3"/>
        <v>6</v>
      </c>
    </row>
    <row r="33" spans="1:22" x14ac:dyDescent="0.25">
      <c r="A33" s="1080"/>
      <c r="B33" s="657" t="str">
        <f t="shared" si="0"/>
        <v>So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1178"/>
      <c r="R33" s="1178"/>
      <c r="S33" s="1178"/>
      <c r="T33" s="1178"/>
      <c r="U33" s="1178"/>
      <c r="V33" s="643">
        <f t="shared" si="3"/>
        <v>6</v>
      </c>
    </row>
    <row r="34" spans="1:22" x14ac:dyDescent="0.25">
      <c r="A34" s="1080"/>
      <c r="B34" s="657" t="str">
        <f t="shared" si="0"/>
        <v>So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1178"/>
      <c r="R34" s="1178"/>
      <c r="S34" s="1178"/>
      <c r="T34" s="1178"/>
      <c r="U34" s="1178"/>
      <c r="V34" s="643">
        <f t="shared" si="3"/>
        <v>6</v>
      </c>
    </row>
    <row r="35" spans="1:22" x14ac:dyDescent="0.25">
      <c r="A35" s="1080"/>
      <c r="B35" s="657" t="str">
        <f t="shared" si="0"/>
        <v>So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7"/>
      <c r="L35" s="654"/>
      <c r="M35" s="657"/>
      <c r="N35" s="714"/>
      <c r="O35" s="654"/>
      <c r="P35" s="1026"/>
      <c r="Q35" s="1178"/>
      <c r="R35" s="1178"/>
      <c r="S35" s="1178"/>
      <c r="T35" s="1178"/>
      <c r="U35" s="1178"/>
      <c r="V35" s="643">
        <f t="shared" si="3"/>
        <v>6</v>
      </c>
    </row>
    <row r="36" spans="1:22" ht="15.75" thickBot="1" x14ac:dyDescent="0.3">
      <c r="A36" s="1080"/>
      <c r="B36" s="658" t="str">
        <f t="shared" si="0"/>
        <v>So</v>
      </c>
      <c r="C36" s="724">
        <f t="shared" si="1"/>
        <v>0</v>
      </c>
      <c r="D36" s="1079">
        <f t="shared" si="2"/>
        <v>0</v>
      </c>
      <c r="E36" s="724"/>
      <c r="F36" s="724"/>
      <c r="G36" s="724"/>
      <c r="H36" s="654"/>
      <c r="I36" s="657"/>
      <c r="J36" s="654"/>
      <c r="K36" s="658"/>
      <c r="L36" s="654"/>
      <c r="M36" s="658"/>
      <c r="N36" s="1087"/>
      <c r="O36" s="655"/>
      <c r="P36" s="1027"/>
      <c r="Q36" s="1178"/>
      <c r="R36" s="1178"/>
      <c r="S36" s="1178"/>
      <c r="T36" s="1178"/>
      <c r="U36" s="1178"/>
      <c r="V36" s="643">
        <f t="shared" si="3"/>
        <v>6</v>
      </c>
    </row>
    <row r="39" spans="1:22" x14ac:dyDescent="0.25">
      <c r="E39" s="731"/>
      <c r="F39" s="731"/>
      <c r="O39" s="731"/>
    </row>
    <row r="40" spans="1:22" x14ac:dyDescent="0.25">
      <c r="C40" s="733"/>
      <c r="E40" s="732"/>
      <c r="F40" s="732"/>
    </row>
    <row r="41" spans="1:22" x14ac:dyDescent="0.25">
      <c r="O41" s="732">
        <f>SUM(C3:C32)</f>
        <v>0</v>
      </c>
      <c r="P41" t="s">
        <v>315</v>
      </c>
    </row>
    <row r="42" spans="1:22" x14ac:dyDescent="0.25">
      <c r="O42" s="732">
        <v>0</v>
      </c>
      <c r="P42" t="s">
        <v>316</v>
      </c>
    </row>
    <row r="46" spans="1:22" x14ac:dyDescent="0.25">
      <c r="C46" s="731"/>
    </row>
    <row r="51" spans="15:15" x14ac:dyDescent="0.25">
      <c r="O51" s="731">
        <f>TIME(0,30,0)</f>
        <v>2.0833333333333332E-2</v>
      </c>
    </row>
    <row r="52" spans="15:15" x14ac:dyDescent="0.25">
      <c r="O52" s="731">
        <f>TIME(1,0,0)</f>
        <v>4.1666666666666664E-2</v>
      </c>
    </row>
  </sheetData>
  <pageMargins left="0.7" right="0.7" top="0.75" bottom="0.75" header="0.3" footer="0.3"/>
  <tableParts count="1">
    <tablePart r:id="rId1"/>
  </tableParts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2497D-CB4E-48FF-B1EE-68A62126FD1F}">
  <dimension ref="A2:V52"/>
  <sheetViews>
    <sheetView zoomScaleNormal="60" zoomScaleSheetLayoutView="100" workbookViewId="0">
      <selection activeCell="O13" sqref="O13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12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5" width="22.85546875" bestFit="1" customWidth="1"/>
    <col min="16" max="17" width="20.140625" bestFit="1" customWidth="1"/>
    <col min="18" max="18" width="8.7109375" bestFit="1" customWidth="1"/>
    <col min="19" max="19" width="13" bestFit="1" customWidth="1"/>
    <col min="20" max="20" width="11.28515625" bestFit="1" customWidth="1"/>
    <col min="21" max="21" width="10.28515625" bestFit="1" customWidth="1"/>
    <col min="22" max="22" width="8.5703125" style="643"/>
  </cols>
  <sheetData>
    <row r="2" spans="1:22" ht="15.75" thickBot="1" x14ac:dyDescent="0.3">
      <c r="A2" s="650" t="s">
        <v>0</v>
      </c>
      <c r="B2" s="650" t="s">
        <v>1</v>
      </c>
      <c r="C2" s="650" t="s">
        <v>127</v>
      </c>
      <c r="D2" s="650" t="s">
        <v>128</v>
      </c>
      <c r="E2" s="650" t="s">
        <v>286</v>
      </c>
      <c r="F2" s="650" t="s">
        <v>317</v>
      </c>
      <c r="G2" s="650" t="s">
        <v>285</v>
      </c>
      <c r="H2" s="650" t="s">
        <v>4</v>
      </c>
      <c r="I2" s="650" t="s">
        <v>5</v>
      </c>
      <c r="J2" s="650" t="s">
        <v>6</v>
      </c>
      <c r="K2" s="650" t="s">
        <v>7</v>
      </c>
      <c r="L2" s="650" t="s">
        <v>265</v>
      </c>
      <c r="M2" s="650" t="s">
        <v>8</v>
      </c>
      <c r="N2" s="650" t="s">
        <v>129</v>
      </c>
      <c r="O2" s="650" t="s">
        <v>9</v>
      </c>
      <c r="P2" s="650" t="s">
        <v>155</v>
      </c>
      <c r="Q2" s="650" t="s">
        <v>10</v>
      </c>
      <c r="R2" s="650" t="s">
        <v>11</v>
      </c>
      <c r="S2" s="650" t="s">
        <v>12</v>
      </c>
      <c r="T2" s="650" t="s">
        <v>13</v>
      </c>
      <c r="U2" s="650" t="s">
        <v>14</v>
      </c>
    </row>
    <row r="3" spans="1:22" ht="15.75" thickBot="1" x14ac:dyDescent="0.3">
      <c r="A3" s="1080"/>
      <c r="B3" s="656" t="str">
        <f t="shared" ref="B3:B36" si="0">CHOOSE(WEEKDAY(V3),"Po","Út","St","Čt","Pá","So","Ne")</f>
        <v>So</v>
      </c>
      <c r="C3" s="724">
        <f t="shared" ref="C3:C36" si="1">G3-E3-F3</f>
        <v>0</v>
      </c>
      <c r="D3" s="1079">
        <f t="shared" ref="D3:D36" si="2">(N3*C3)*24</f>
        <v>0</v>
      </c>
      <c r="E3" s="724"/>
      <c r="F3" s="724"/>
      <c r="G3" s="724"/>
      <c r="H3" s="654"/>
      <c r="I3" s="657"/>
      <c r="J3" s="654"/>
      <c r="K3" s="656"/>
      <c r="L3" s="654"/>
      <c r="M3" s="657"/>
      <c r="N3" s="713"/>
      <c r="O3" s="1081">
        <f>(O5+O7)</f>
        <v>0</v>
      </c>
      <c r="P3" s="656">
        <f>P5+P7</f>
        <v>0</v>
      </c>
      <c r="Q3" s="853">
        <f>'03hod24'!Q6</f>
        <v>0</v>
      </c>
      <c r="R3" s="644"/>
      <c r="S3" s="644" t="str">
        <f>'03hod24'!S6</f>
        <v xml:space="preserve">Výplata za Březen </v>
      </c>
      <c r="T3" s="875" t="str">
        <f>'03hod24'!T6</f>
        <v>xx.04.2023</v>
      </c>
      <c r="U3" s="722">
        <f>T8*20</f>
        <v>0</v>
      </c>
      <c r="V3" s="643">
        <f t="shared" ref="V3:V36" si="3">WEEKDAY(A3,2)</f>
        <v>6</v>
      </c>
    </row>
    <row r="4" spans="1:22" x14ac:dyDescent="0.25">
      <c r="A4" s="1080"/>
      <c r="B4" s="657" t="str">
        <f t="shared" si="0"/>
        <v>So</v>
      </c>
      <c r="C4" s="724">
        <f t="shared" si="1"/>
        <v>0</v>
      </c>
      <c r="D4" s="1079">
        <f t="shared" si="2"/>
        <v>0</v>
      </c>
      <c r="E4" s="724"/>
      <c r="F4" s="724"/>
      <c r="G4" s="724"/>
      <c r="H4" s="654"/>
      <c r="I4" s="657"/>
      <c r="J4" s="654"/>
      <c r="K4" s="657"/>
      <c r="L4" s="654"/>
      <c r="M4" s="657"/>
      <c r="N4" s="714"/>
      <c r="O4" s="654" t="s">
        <v>19</v>
      </c>
      <c r="P4" s="657" t="s">
        <v>19</v>
      </c>
      <c r="Q4" s="738">
        <v>0</v>
      </c>
      <c r="R4" s="611" t="s">
        <v>48</v>
      </c>
      <c r="S4" s="611" t="s">
        <v>48</v>
      </c>
      <c r="T4" s="874"/>
      <c r="U4" s="1178"/>
      <c r="V4" s="643">
        <f t="shared" si="3"/>
        <v>6</v>
      </c>
    </row>
    <row r="5" spans="1:22" x14ac:dyDescent="0.25">
      <c r="A5" s="1080"/>
      <c r="B5" s="657" t="str">
        <f t="shared" si="0"/>
        <v>So</v>
      </c>
      <c r="C5" s="724">
        <f t="shared" si="1"/>
        <v>0</v>
      </c>
      <c r="D5" s="1079">
        <f t="shared" si="2"/>
        <v>0</v>
      </c>
      <c r="E5" s="724"/>
      <c r="F5" s="724"/>
      <c r="G5" s="724"/>
      <c r="H5" s="654"/>
      <c r="I5" s="657"/>
      <c r="J5" s="654"/>
      <c r="K5" s="657"/>
      <c r="L5" s="654"/>
      <c r="M5" s="657"/>
      <c r="N5" s="714"/>
      <c r="O5" s="1082">
        <f>O41*24</f>
        <v>0</v>
      </c>
      <c r="P5" s="657">
        <v>0</v>
      </c>
      <c r="Q5" s="738">
        <v>0</v>
      </c>
      <c r="R5" s="611" t="s">
        <v>17</v>
      </c>
      <c r="S5" s="611" t="s">
        <v>158</v>
      </c>
      <c r="T5" s="646"/>
      <c r="U5" s="1178"/>
      <c r="V5" s="643">
        <f t="shared" si="3"/>
        <v>6</v>
      </c>
    </row>
    <row r="6" spans="1:22" x14ac:dyDescent="0.25">
      <c r="A6" s="1080"/>
      <c r="B6" s="657" t="str">
        <f t="shared" si="0"/>
        <v>So</v>
      </c>
      <c r="C6" s="724">
        <f t="shared" si="1"/>
        <v>0</v>
      </c>
      <c r="D6" s="1079">
        <f t="shared" si="2"/>
        <v>0</v>
      </c>
      <c r="E6" s="724"/>
      <c r="F6" s="724"/>
      <c r="G6" s="724"/>
      <c r="H6" s="654"/>
      <c r="I6" s="657"/>
      <c r="J6" s="654"/>
      <c r="K6" s="657"/>
      <c r="L6" s="654"/>
      <c r="M6" s="657"/>
      <c r="N6" s="714"/>
      <c r="O6" s="654" t="s">
        <v>14</v>
      </c>
      <c r="P6" s="657" t="s">
        <v>14</v>
      </c>
      <c r="Q6" s="738">
        <v>0</v>
      </c>
      <c r="R6" s="611" t="s">
        <v>17</v>
      </c>
      <c r="S6" s="611" t="s">
        <v>595</v>
      </c>
      <c r="T6" s="646" t="s">
        <v>599</v>
      </c>
      <c r="U6" s="1178"/>
      <c r="V6" s="643">
        <f t="shared" si="3"/>
        <v>6</v>
      </c>
    </row>
    <row r="7" spans="1:22" ht="15.75" thickBot="1" x14ac:dyDescent="0.3">
      <c r="A7" s="1080"/>
      <c r="B7" s="657" t="str">
        <f t="shared" si="0"/>
        <v>So</v>
      </c>
      <c r="C7" s="724">
        <f t="shared" si="1"/>
        <v>0</v>
      </c>
      <c r="D7" s="1079">
        <f t="shared" si="2"/>
        <v>0</v>
      </c>
      <c r="E7" s="724"/>
      <c r="F7" s="724"/>
      <c r="G7" s="724"/>
      <c r="H7" s="654"/>
      <c r="I7" s="657"/>
      <c r="J7" s="654"/>
      <c r="K7" s="657"/>
      <c r="L7" s="654"/>
      <c r="M7" s="657"/>
      <c r="N7" s="714"/>
      <c r="O7" s="1082">
        <f>O42*24</f>
        <v>0</v>
      </c>
      <c r="P7" s="657">
        <v>0</v>
      </c>
      <c r="Q7" s="712" t="s">
        <v>134</v>
      </c>
      <c r="R7" s="647"/>
      <c r="S7" s="647" t="s">
        <v>48</v>
      </c>
      <c r="T7" s="648"/>
      <c r="U7" s="1178"/>
      <c r="V7" s="643">
        <f t="shared" si="3"/>
        <v>6</v>
      </c>
    </row>
    <row r="8" spans="1:22" x14ac:dyDescent="0.25">
      <c r="A8" s="1080"/>
      <c r="B8" s="657" t="str">
        <f t="shared" si="0"/>
        <v>So</v>
      </c>
      <c r="C8" s="724">
        <f t="shared" si="1"/>
        <v>0</v>
      </c>
      <c r="D8" s="1079">
        <f t="shared" si="2"/>
        <v>0</v>
      </c>
      <c r="E8" s="724"/>
      <c r="F8" s="724"/>
      <c r="G8" s="724"/>
      <c r="H8" s="654"/>
      <c r="I8" s="657"/>
      <c r="J8" s="654"/>
      <c r="K8" s="657"/>
      <c r="L8" s="654"/>
      <c r="M8" s="657"/>
      <c r="N8" s="714"/>
      <c r="O8" s="654" t="s">
        <v>20</v>
      </c>
      <c r="P8" s="1026" t="s">
        <v>20</v>
      </c>
      <c r="Q8" s="721">
        <f>Q4+Q5</f>
        <v>0</v>
      </c>
      <c r="R8" s="1178"/>
      <c r="S8" s="1178"/>
      <c r="T8" s="1178"/>
      <c r="U8" s="1178"/>
      <c r="V8" s="643">
        <f t="shared" si="3"/>
        <v>6</v>
      </c>
    </row>
    <row r="9" spans="1:22" x14ac:dyDescent="0.25">
      <c r="A9" s="1080"/>
      <c r="B9" s="657" t="str">
        <f t="shared" si="0"/>
        <v>So</v>
      </c>
      <c r="C9" s="724">
        <f t="shared" si="1"/>
        <v>0</v>
      </c>
      <c r="D9" s="1079">
        <f t="shared" si="2"/>
        <v>0</v>
      </c>
      <c r="E9" s="724"/>
      <c r="F9" s="724"/>
      <c r="G9" s="724"/>
      <c r="H9" s="654"/>
      <c r="I9" s="657"/>
      <c r="J9" s="654"/>
      <c r="K9" s="657"/>
      <c r="L9" s="654"/>
      <c r="M9" s="657"/>
      <c r="N9" s="714"/>
      <c r="O9" s="654" t="s">
        <v>509</v>
      </c>
      <c r="P9" s="1026" t="s">
        <v>509</v>
      </c>
      <c r="Q9" s="657" t="s">
        <v>229</v>
      </c>
      <c r="R9" s="1178"/>
      <c r="S9" s="1178"/>
      <c r="T9" s="1178"/>
      <c r="U9" s="1178"/>
      <c r="V9" s="643">
        <f t="shared" si="3"/>
        <v>6</v>
      </c>
    </row>
    <row r="10" spans="1:22" x14ac:dyDescent="0.25">
      <c r="A10" s="1080"/>
      <c r="B10" s="657" t="str">
        <f t="shared" si="0"/>
        <v>So</v>
      </c>
      <c r="C10" s="724">
        <f t="shared" si="1"/>
        <v>0</v>
      </c>
      <c r="D10" s="1079">
        <f t="shared" si="2"/>
        <v>0</v>
      </c>
      <c r="E10" s="724"/>
      <c r="F10" s="724"/>
      <c r="G10" s="724"/>
      <c r="H10" s="654"/>
      <c r="I10" s="657"/>
      <c r="J10" s="654"/>
      <c r="K10" s="657"/>
      <c r="L10" s="654"/>
      <c r="M10" s="657"/>
      <c r="N10" s="714"/>
      <c r="O10" s="654" t="s">
        <v>23</v>
      </c>
      <c r="P10" s="1026" t="s">
        <v>23</v>
      </c>
      <c r="Q10" s="657">
        <f>SUM(Q3:Q5)</f>
        <v>0</v>
      </c>
      <c r="R10" s="1178"/>
      <c r="S10" s="1178"/>
      <c r="T10" s="1178"/>
      <c r="U10" s="1178"/>
      <c r="V10" s="643">
        <f t="shared" si="3"/>
        <v>6</v>
      </c>
    </row>
    <row r="11" spans="1:22" x14ac:dyDescent="0.25">
      <c r="A11" s="1080"/>
      <c r="B11" s="657" t="str">
        <f t="shared" si="0"/>
        <v>So</v>
      </c>
      <c r="C11" s="724">
        <f t="shared" si="1"/>
        <v>0</v>
      </c>
      <c r="D11" s="1079">
        <f t="shared" si="2"/>
        <v>0</v>
      </c>
      <c r="E11" s="724"/>
      <c r="F11" s="724"/>
      <c r="G11" s="724"/>
      <c r="H11" s="654"/>
      <c r="I11" s="657"/>
      <c r="J11" s="654"/>
      <c r="K11" s="657"/>
      <c r="L11" s="654"/>
      <c r="M11" s="657"/>
      <c r="N11" s="714"/>
      <c r="O11" s="1083">
        <f>(O3*380)+U3</f>
        <v>0</v>
      </c>
      <c r="P11" s="1088">
        <f>SUM(P3*380)</f>
        <v>0</v>
      </c>
      <c r="Q11" s="719"/>
      <c r="R11" s="1178"/>
      <c r="S11" s="1178"/>
      <c r="T11" s="1178"/>
      <c r="U11" s="1178"/>
      <c r="V11" s="643">
        <f t="shared" si="3"/>
        <v>6</v>
      </c>
    </row>
    <row r="12" spans="1:22" x14ac:dyDescent="0.25">
      <c r="A12" s="1080"/>
      <c r="B12" s="657" t="str">
        <f t="shared" si="0"/>
        <v>So</v>
      </c>
      <c r="C12" s="724">
        <f t="shared" si="1"/>
        <v>0</v>
      </c>
      <c r="D12" s="1079">
        <f t="shared" si="2"/>
        <v>0</v>
      </c>
      <c r="E12" s="724"/>
      <c r="F12" s="724"/>
      <c r="G12" s="724"/>
      <c r="H12" s="654"/>
      <c r="I12" s="657"/>
      <c r="J12" s="654"/>
      <c r="K12" s="657"/>
      <c r="L12" s="654"/>
      <c r="M12" s="657"/>
      <c r="N12" s="714"/>
      <c r="O12" s="654" t="s">
        <v>361</v>
      </c>
      <c r="P12" s="1026" t="s">
        <v>361</v>
      </c>
      <c r="Q12" s="1178"/>
      <c r="R12" s="1178"/>
      <c r="S12" s="1178"/>
      <c r="T12" s="1178"/>
      <c r="U12" s="1178"/>
      <c r="V12" s="643">
        <f t="shared" si="3"/>
        <v>6</v>
      </c>
    </row>
    <row r="13" spans="1:22" x14ac:dyDescent="0.25">
      <c r="A13" s="1080"/>
      <c r="B13" s="657" t="str">
        <f t="shared" si="0"/>
        <v>So</v>
      </c>
      <c r="C13" s="724">
        <f t="shared" si="1"/>
        <v>0</v>
      </c>
      <c r="D13" s="1079">
        <f t="shared" si="2"/>
        <v>0</v>
      </c>
      <c r="E13" s="724"/>
      <c r="F13" s="724"/>
      <c r="G13" s="724"/>
      <c r="H13" s="654"/>
      <c r="I13" s="657"/>
      <c r="J13" s="654"/>
      <c r="K13" s="657"/>
      <c r="L13" s="654"/>
      <c r="M13" s="657"/>
      <c r="N13" s="714"/>
      <c r="O13" s="1083">
        <f>(O11+O21+O19-O23)-O15-P25</f>
        <v>0</v>
      </c>
      <c r="P13" s="1088">
        <f>(P11+P19+P21-P23)-P15-P25</f>
        <v>0</v>
      </c>
      <c r="Q13" s="1178"/>
      <c r="R13" s="1178"/>
      <c r="S13" s="1178"/>
      <c r="T13" s="1178"/>
      <c r="U13" s="1178"/>
      <c r="V13" s="643">
        <f t="shared" si="3"/>
        <v>6</v>
      </c>
    </row>
    <row r="14" spans="1:22" x14ac:dyDescent="0.25">
      <c r="A14" s="1080"/>
      <c r="B14" s="657" t="str">
        <f t="shared" si="0"/>
        <v>So</v>
      </c>
      <c r="C14" s="724">
        <f t="shared" si="1"/>
        <v>0</v>
      </c>
      <c r="D14" s="1079">
        <f t="shared" si="2"/>
        <v>0</v>
      </c>
      <c r="E14" s="724"/>
      <c r="F14" s="724"/>
      <c r="G14" s="724"/>
      <c r="H14" s="654"/>
      <c r="I14" s="657"/>
      <c r="J14" s="654"/>
      <c r="K14" s="657"/>
      <c r="L14" s="654"/>
      <c r="M14" s="657"/>
      <c r="N14" s="714"/>
      <c r="O14" s="654" t="s">
        <v>26</v>
      </c>
      <c r="P14" s="1088" t="s">
        <v>26</v>
      </c>
      <c r="Q14" s="1178"/>
      <c r="R14" s="1178"/>
      <c r="S14" s="1178"/>
      <c r="T14" s="1178"/>
      <c r="U14" s="1178"/>
      <c r="V14" s="643">
        <f t="shared" si="3"/>
        <v>6</v>
      </c>
    </row>
    <row r="15" spans="1:22" x14ac:dyDescent="0.25">
      <c r="A15" s="1080"/>
      <c r="B15" s="657" t="str">
        <f t="shared" si="0"/>
        <v>So</v>
      </c>
      <c r="C15" s="724">
        <f t="shared" si="1"/>
        <v>0</v>
      </c>
      <c r="D15" s="1079">
        <f t="shared" si="2"/>
        <v>0</v>
      </c>
      <c r="E15" s="724"/>
      <c r="F15" s="724"/>
      <c r="G15" s="724"/>
      <c r="H15" s="654"/>
      <c r="I15" s="657"/>
      <c r="J15" s="654"/>
      <c r="K15" s="657"/>
      <c r="L15" s="654"/>
      <c r="M15" s="657"/>
      <c r="N15" s="714"/>
      <c r="O15" s="1083">
        <f>(O17*25.53)</f>
        <v>0</v>
      </c>
      <c r="P15" s="1088">
        <f>(P17*25.53)</f>
        <v>0</v>
      </c>
      <c r="Q15" s="923" t="s">
        <v>458</v>
      </c>
      <c r="R15" s="1004">
        <f>P15+P23-P19</f>
        <v>0</v>
      </c>
      <c r="S15" s="1007"/>
      <c r="T15" s="923" t="s">
        <v>462</v>
      </c>
      <c r="U15" s="1004">
        <f>P15+P23</f>
        <v>0</v>
      </c>
      <c r="V15" s="643">
        <f t="shared" si="3"/>
        <v>6</v>
      </c>
    </row>
    <row r="16" spans="1:22" x14ac:dyDescent="0.25">
      <c r="A16" s="1080"/>
      <c r="B16" s="657" t="str">
        <f t="shared" si="0"/>
        <v>So</v>
      </c>
      <c r="C16" s="724">
        <f t="shared" si="1"/>
        <v>0</v>
      </c>
      <c r="D16" s="1079">
        <f t="shared" si="2"/>
        <v>0</v>
      </c>
      <c r="E16" s="724"/>
      <c r="F16" s="724"/>
      <c r="G16" s="724"/>
      <c r="H16" s="654"/>
      <c r="I16" s="657"/>
      <c r="J16" s="654"/>
      <c r="K16" s="657"/>
      <c r="L16" s="654"/>
      <c r="M16" s="657"/>
      <c r="N16" s="714"/>
      <c r="O16" s="654" t="s">
        <v>29</v>
      </c>
      <c r="P16" s="1026" t="s">
        <v>29</v>
      </c>
      <c r="Q16" s="1179" t="s">
        <v>459</v>
      </c>
      <c r="R16" s="1180">
        <f>P11</f>
        <v>0</v>
      </c>
      <c r="S16" s="1008"/>
      <c r="T16" s="1179" t="s">
        <v>463</v>
      </c>
      <c r="U16" s="1180">
        <f>P11+P19+P21+O29</f>
        <v>0</v>
      </c>
      <c r="V16" s="643">
        <f t="shared" si="3"/>
        <v>6</v>
      </c>
    </row>
    <row r="17" spans="1:22" x14ac:dyDescent="0.25">
      <c r="A17" s="1080"/>
      <c r="B17" s="657" t="str">
        <f t="shared" si="0"/>
        <v>So</v>
      </c>
      <c r="C17" s="724">
        <f t="shared" si="1"/>
        <v>0</v>
      </c>
      <c r="D17" s="1079">
        <f t="shared" si="2"/>
        <v>0</v>
      </c>
      <c r="E17" s="724"/>
      <c r="F17" s="724"/>
      <c r="G17" s="724"/>
      <c r="H17" s="654"/>
      <c r="I17" s="657"/>
      <c r="J17" s="654"/>
      <c r="K17" s="657"/>
      <c r="L17" s="654"/>
      <c r="M17" s="657"/>
      <c r="N17" s="714"/>
      <c r="O17" s="1154">
        <f>MMcashRR!O44</f>
        <v>0</v>
      </c>
      <c r="P17" s="1089">
        <v>0</v>
      </c>
      <c r="Q17" s="1179"/>
      <c r="R17" s="1181">
        <f>R16-R15</f>
        <v>0</v>
      </c>
      <c r="S17" s="1008"/>
      <c r="T17" s="1179" t="s">
        <v>513</v>
      </c>
      <c r="U17" s="1180">
        <f>U16-U15</f>
        <v>0</v>
      </c>
      <c r="V17" s="643">
        <f t="shared" si="3"/>
        <v>6</v>
      </c>
    </row>
    <row r="18" spans="1:22" x14ac:dyDescent="0.25">
      <c r="A18" s="1080"/>
      <c r="B18" s="657" t="str">
        <f t="shared" si="0"/>
        <v>So</v>
      </c>
      <c r="C18" s="724">
        <f t="shared" si="1"/>
        <v>0</v>
      </c>
      <c r="D18" s="1079">
        <f t="shared" si="2"/>
        <v>0</v>
      </c>
      <c r="E18" s="724"/>
      <c r="F18" s="724"/>
      <c r="G18" s="724"/>
      <c r="H18" s="654"/>
      <c r="I18" s="657"/>
      <c r="J18" s="654"/>
      <c r="K18" s="657"/>
      <c r="L18" s="654"/>
      <c r="M18" s="657"/>
      <c r="N18" s="714"/>
      <c r="O18" s="654" t="s">
        <v>31</v>
      </c>
      <c r="P18" s="1026" t="s">
        <v>31</v>
      </c>
      <c r="Q18" s="1180">
        <f>R17-Q6-Q8</f>
        <v>0</v>
      </c>
      <c r="R18" s="1179"/>
      <c r="S18" s="1009"/>
      <c r="T18" s="1179" t="s">
        <v>514</v>
      </c>
      <c r="U18" s="1180">
        <f>U17-Q6-Q8</f>
        <v>0</v>
      </c>
      <c r="V18" s="643">
        <f t="shared" si="3"/>
        <v>6</v>
      </c>
    </row>
    <row r="19" spans="1:22" x14ac:dyDescent="0.25">
      <c r="A19" s="1080"/>
      <c r="B19" s="657" t="str">
        <f t="shared" si="0"/>
        <v>So</v>
      </c>
      <c r="C19" s="724">
        <f t="shared" si="1"/>
        <v>0</v>
      </c>
      <c r="D19" s="1079">
        <f t="shared" si="2"/>
        <v>0</v>
      </c>
      <c r="E19" s="724"/>
      <c r="F19" s="724"/>
      <c r="G19" s="724"/>
      <c r="H19" s="654"/>
      <c r="I19" s="657"/>
      <c r="J19" s="654"/>
      <c r="K19" s="657"/>
      <c r="L19" s="654"/>
      <c r="M19" s="657"/>
      <c r="N19" s="714"/>
      <c r="O19" s="1083"/>
      <c r="P19" s="1088"/>
      <c r="Q19" s="1179"/>
      <c r="R19" s="1179"/>
      <c r="S19" s="1008"/>
      <c r="T19" s="1179"/>
      <c r="U19" s="1179"/>
      <c r="V19" s="643">
        <f t="shared" si="3"/>
        <v>6</v>
      </c>
    </row>
    <row r="20" spans="1:22" x14ac:dyDescent="0.25">
      <c r="A20" s="1080"/>
      <c r="B20" s="657" t="str">
        <f t="shared" si="0"/>
        <v>So</v>
      </c>
      <c r="C20" s="724">
        <f t="shared" si="1"/>
        <v>0</v>
      </c>
      <c r="D20" s="1079">
        <f t="shared" si="2"/>
        <v>0</v>
      </c>
      <c r="E20" s="724"/>
      <c r="F20" s="724"/>
      <c r="G20" s="724"/>
      <c r="H20" s="654"/>
      <c r="I20" s="657"/>
      <c r="J20" s="654"/>
      <c r="K20" s="657"/>
      <c r="L20" s="654"/>
      <c r="M20" s="657"/>
      <c r="N20" s="714"/>
      <c r="O20" s="1083" t="s">
        <v>33</v>
      </c>
      <c r="P20" s="1088" t="s">
        <v>33</v>
      </c>
      <c r="Q20" s="1179"/>
      <c r="R20" s="1179"/>
      <c r="S20" s="1008"/>
      <c r="T20" s="1179"/>
      <c r="U20" s="1179"/>
      <c r="V20" s="643">
        <f t="shared" si="3"/>
        <v>6</v>
      </c>
    </row>
    <row r="21" spans="1:22" x14ac:dyDescent="0.25">
      <c r="A21" s="1080"/>
      <c r="B21" s="657" t="str">
        <f t="shared" si="0"/>
        <v>So</v>
      </c>
      <c r="C21" s="724">
        <f t="shared" si="1"/>
        <v>0</v>
      </c>
      <c r="D21" s="1079">
        <f t="shared" si="2"/>
        <v>0</v>
      </c>
      <c r="E21" s="724"/>
      <c r="F21" s="724"/>
      <c r="G21" s="724"/>
      <c r="H21" s="654"/>
      <c r="I21" s="657"/>
      <c r="J21" s="654"/>
      <c r="K21" s="657"/>
      <c r="L21" s="654"/>
      <c r="M21" s="657"/>
      <c r="N21" s="714"/>
      <c r="O21" s="1083">
        <v>0</v>
      </c>
      <c r="P21" s="1088">
        <v>0</v>
      </c>
      <c r="Q21" s="1179"/>
      <c r="R21" s="1179"/>
      <c r="S21" s="1008"/>
      <c r="T21" s="1179"/>
      <c r="U21" s="1179"/>
      <c r="V21" s="643">
        <f t="shared" si="3"/>
        <v>6</v>
      </c>
    </row>
    <row r="22" spans="1:22" x14ac:dyDescent="0.25">
      <c r="A22" s="1080"/>
      <c r="B22" s="657" t="str">
        <f t="shared" si="0"/>
        <v>So</v>
      </c>
      <c r="C22" s="724">
        <f t="shared" si="1"/>
        <v>0</v>
      </c>
      <c r="D22" s="1079">
        <f t="shared" si="2"/>
        <v>0</v>
      </c>
      <c r="E22" s="724"/>
      <c r="F22" s="724"/>
      <c r="G22" s="724"/>
      <c r="H22" s="654"/>
      <c r="I22" s="657"/>
      <c r="J22" s="654"/>
      <c r="K22" s="657"/>
      <c r="L22" s="654"/>
      <c r="M22" s="657"/>
      <c r="N22" s="714"/>
      <c r="O22" s="1083" t="s">
        <v>34</v>
      </c>
      <c r="P22" s="1088" t="s">
        <v>34</v>
      </c>
      <c r="Q22" s="1179"/>
      <c r="R22" s="1179"/>
      <c r="S22" s="1008"/>
      <c r="T22" s="1179"/>
      <c r="U22" s="1179"/>
      <c r="V22" s="643">
        <f t="shared" si="3"/>
        <v>6</v>
      </c>
    </row>
    <row r="23" spans="1:22" x14ac:dyDescent="0.25">
      <c r="A23" s="1080"/>
      <c r="B23" s="657" t="str">
        <f t="shared" si="0"/>
        <v>So</v>
      </c>
      <c r="C23" s="724">
        <f t="shared" si="1"/>
        <v>0</v>
      </c>
      <c r="D23" s="1079">
        <f t="shared" si="2"/>
        <v>0</v>
      </c>
      <c r="E23" s="724"/>
      <c r="F23" s="724"/>
      <c r="G23" s="724"/>
      <c r="H23" s="654"/>
      <c r="I23" s="657"/>
      <c r="J23" s="654"/>
      <c r="K23" s="657"/>
      <c r="L23" s="654"/>
      <c r="M23" s="657"/>
      <c r="N23" s="714"/>
      <c r="O23" s="1083">
        <v>0</v>
      </c>
      <c r="P23" s="1088">
        <v>0</v>
      </c>
      <c r="Q23" s="1179"/>
      <c r="R23" s="1017"/>
      <c r="S23" s="1178"/>
      <c r="T23" s="1179"/>
      <c r="U23" s="1179"/>
      <c r="V23" s="643">
        <f t="shared" si="3"/>
        <v>6</v>
      </c>
    </row>
    <row r="24" spans="1:22" x14ac:dyDescent="0.25">
      <c r="A24" s="1080"/>
      <c r="B24" s="657" t="str">
        <f t="shared" si="0"/>
        <v>So</v>
      </c>
      <c r="C24" s="724">
        <f t="shared" si="1"/>
        <v>0</v>
      </c>
      <c r="D24" s="1079">
        <f t="shared" si="2"/>
        <v>0</v>
      </c>
      <c r="E24" s="724"/>
      <c r="F24" s="724"/>
      <c r="G24" s="724"/>
      <c r="H24" s="654"/>
      <c r="I24" s="657"/>
      <c r="J24" s="654"/>
      <c r="K24" s="657"/>
      <c r="L24" s="654"/>
      <c r="M24" s="657"/>
      <c r="N24" s="714"/>
      <c r="O24" s="1085" t="s">
        <v>364</v>
      </c>
      <c r="P24" s="1090" t="s">
        <v>363</v>
      </c>
      <c r="Q24" s="1182">
        <f>Q18-P25</f>
        <v>0</v>
      </c>
      <c r="R24" s="1018"/>
      <c r="S24" s="1182">
        <f>U18-O27</f>
        <v>0</v>
      </c>
      <c r="T24" s="1179"/>
      <c r="U24" s="1179"/>
      <c r="V24" s="643">
        <f t="shared" si="3"/>
        <v>6</v>
      </c>
    </row>
    <row r="25" spans="1:22" x14ac:dyDescent="0.25">
      <c r="A25" s="1080"/>
      <c r="B25" s="657" t="str">
        <f t="shared" si="0"/>
        <v>So</v>
      </c>
      <c r="C25" s="724">
        <f t="shared" si="1"/>
        <v>0</v>
      </c>
      <c r="D25" s="1079">
        <f t="shared" si="2"/>
        <v>0</v>
      </c>
      <c r="E25" s="724"/>
      <c r="F25" s="724"/>
      <c r="G25" s="724"/>
      <c r="H25" s="654"/>
      <c r="I25" s="657"/>
      <c r="J25" s="654"/>
      <c r="K25" s="657"/>
      <c r="L25" s="654"/>
      <c r="M25" s="657"/>
      <c r="N25" s="714"/>
      <c r="O25" s="1086">
        <f>P13-Q6</f>
        <v>0</v>
      </c>
      <c r="P25" s="1088">
        <f>O27-O29</f>
        <v>0</v>
      </c>
      <c r="Q25" s="1020"/>
      <c r="R25" s="1019"/>
      <c r="S25" s="1006"/>
      <c r="T25" s="1006"/>
      <c r="U25" s="1006"/>
      <c r="V25" s="643">
        <f t="shared" si="3"/>
        <v>6</v>
      </c>
    </row>
    <row r="26" spans="1:22" x14ac:dyDescent="0.25">
      <c r="A26" s="1080"/>
      <c r="B26" s="657" t="str">
        <f t="shared" si="0"/>
        <v>So</v>
      </c>
      <c r="C26" s="724">
        <f t="shared" si="1"/>
        <v>0</v>
      </c>
      <c r="D26" s="1079">
        <f t="shared" si="2"/>
        <v>0</v>
      </c>
      <c r="E26" s="724"/>
      <c r="F26" s="724"/>
      <c r="G26" s="724"/>
      <c r="H26" s="654"/>
      <c r="I26" s="657"/>
      <c r="J26" s="654"/>
      <c r="K26" s="657"/>
      <c r="L26" s="654"/>
      <c r="M26" s="657"/>
      <c r="N26" s="714"/>
      <c r="O26" s="654" t="s">
        <v>372</v>
      </c>
      <c r="P26" s="1026"/>
      <c r="Q26" s="1178"/>
      <c r="R26" s="1178"/>
      <c r="S26" s="1178"/>
      <c r="T26" s="1178"/>
      <c r="U26" s="1178"/>
      <c r="V26" s="643">
        <f t="shared" si="3"/>
        <v>6</v>
      </c>
    </row>
    <row r="27" spans="1:22" x14ac:dyDescent="0.25">
      <c r="A27" s="1080"/>
      <c r="B27" s="657" t="str">
        <f t="shared" si="0"/>
        <v>So</v>
      </c>
      <c r="C27" s="724">
        <f t="shared" si="1"/>
        <v>0</v>
      </c>
      <c r="D27" s="1079">
        <f t="shared" si="2"/>
        <v>0</v>
      </c>
      <c r="E27" s="724"/>
      <c r="F27" s="724"/>
      <c r="G27" s="724"/>
      <c r="H27" s="654"/>
      <c r="I27" s="657"/>
      <c r="J27" s="654"/>
      <c r="K27" s="657"/>
      <c r="L27" s="654"/>
      <c r="M27" s="657"/>
      <c r="N27" s="714"/>
      <c r="O27" s="1083">
        <v>0</v>
      </c>
      <c r="P27" s="1088"/>
      <c r="Q27" s="1178"/>
      <c r="R27" s="1178"/>
      <c r="S27" s="1178"/>
      <c r="T27" s="1178"/>
      <c r="U27" s="1178"/>
      <c r="V27" s="643">
        <f t="shared" si="3"/>
        <v>6</v>
      </c>
    </row>
    <row r="28" spans="1:22" x14ac:dyDescent="0.25">
      <c r="A28" s="1080"/>
      <c r="B28" s="657" t="str">
        <f t="shared" si="0"/>
        <v>So</v>
      </c>
      <c r="C28" s="724">
        <f t="shared" si="1"/>
        <v>0</v>
      </c>
      <c r="D28" s="1079">
        <f t="shared" si="2"/>
        <v>0</v>
      </c>
      <c r="E28" s="724"/>
      <c r="F28" s="724"/>
      <c r="G28" s="724"/>
      <c r="H28" s="654"/>
      <c r="I28" s="657"/>
      <c r="J28" s="654"/>
      <c r="K28" s="657"/>
      <c r="L28" s="654"/>
      <c r="M28" s="657"/>
      <c r="N28" s="714"/>
      <c r="O28" s="654" t="s">
        <v>373</v>
      </c>
      <c r="P28" s="1026"/>
      <c r="Q28" s="1178"/>
      <c r="R28" s="1178"/>
      <c r="S28" s="1178"/>
      <c r="T28" s="1178"/>
      <c r="U28" s="1178"/>
      <c r="V28" s="643">
        <f t="shared" si="3"/>
        <v>6</v>
      </c>
    </row>
    <row r="29" spans="1:22" x14ac:dyDescent="0.25">
      <c r="A29" s="1080"/>
      <c r="B29" s="657" t="str">
        <f t="shared" si="0"/>
        <v>So</v>
      </c>
      <c r="C29" s="724">
        <f t="shared" si="1"/>
        <v>0</v>
      </c>
      <c r="D29" s="1079">
        <f t="shared" si="2"/>
        <v>0</v>
      </c>
      <c r="E29" s="724"/>
      <c r="F29" s="724"/>
      <c r="G29" s="724"/>
      <c r="H29" s="654"/>
      <c r="I29" s="657"/>
      <c r="J29" s="654"/>
      <c r="K29" s="657"/>
      <c r="L29" s="654"/>
      <c r="M29" s="657"/>
      <c r="N29" s="714"/>
      <c r="O29" s="1083">
        <f>'03hod24'!O27</f>
        <v>0</v>
      </c>
      <c r="P29" s="1026"/>
      <c r="Q29" s="1178"/>
      <c r="R29" s="1178"/>
      <c r="S29" s="1178"/>
      <c r="T29" s="1178"/>
      <c r="U29" s="1178"/>
      <c r="V29" s="643">
        <f t="shared" si="3"/>
        <v>6</v>
      </c>
    </row>
    <row r="30" spans="1:22" x14ac:dyDescent="0.25">
      <c r="A30" s="1080"/>
      <c r="B30" s="657" t="str">
        <f t="shared" si="0"/>
        <v>So</v>
      </c>
      <c r="C30" s="724">
        <f t="shared" si="1"/>
        <v>0</v>
      </c>
      <c r="D30" s="1079">
        <f t="shared" si="2"/>
        <v>0</v>
      </c>
      <c r="E30" s="724"/>
      <c r="F30" s="724"/>
      <c r="G30" s="724"/>
      <c r="H30" s="654"/>
      <c r="I30" s="657"/>
      <c r="J30" s="654"/>
      <c r="K30" s="657"/>
      <c r="L30" s="654"/>
      <c r="M30" s="657"/>
      <c r="N30" s="714"/>
      <c r="O30" s="1083"/>
      <c r="P30" s="1083"/>
      <c r="Q30" s="1178"/>
      <c r="R30" s="1178"/>
      <c r="S30" s="1178"/>
      <c r="T30" s="1178"/>
      <c r="U30" s="1178"/>
      <c r="V30" s="643">
        <f t="shared" si="3"/>
        <v>6</v>
      </c>
    </row>
    <row r="31" spans="1:22" x14ac:dyDescent="0.25">
      <c r="A31" s="1080"/>
      <c r="B31" s="657" t="str">
        <f t="shared" si="0"/>
        <v>So</v>
      </c>
      <c r="C31" s="724">
        <f t="shared" si="1"/>
        <v>0</v>
      </c>
      <c r="D31" s="1079">
        <f t="shared" si="2"/>
        <v>0</v>
      </c>
      <c r="E31" s="724"/>
      <c r="F31" s="724"/>
      <c r="G31" s="724"/>
      <c r="H31" s="654"/>
      <c r="I31" s="657"/>
      <c r="J31" s="654"/>
      <c r="K31" s="657"/>
      <c r="L31" s="654"/>
      <c r="M31" s="657"/>
      <c r="N31" s="714"/>
      <c r="O31" s="918"/>
      <c r="P31" s="1091"/>
      <c r="Q31" s="1178"/>
      <c r="R31" s="1178"/>
      <c r="S31" s="1178"/>
      <c r="T31" s="1178"/>
      <c r="U31" s="1178"/>
      <c r="V31" s="643">
        <f t="shared" si="3"/>
        <v>6</v>
      </c>
    </row>
    <row r="32" spans="1:22" x14ac:dyDescent="0.25">
      <c r="A32" s="1080"/>
      <c r="B32" s="657" t="str">
        <f t="shared" si="0"/>
        <v>So</v>
      </c>
      <c r="C32" s="724">
        <f t="shared" si="1"/>
        <v>0</v>
      </c>
      <c r="D32" s="1079">
        <f t="shared" si="2"/>
        <v>0</v>
      </c>
      <c r="E32" s="724"/>
      <c r="F32" s="724"/>
      <c r="G32" s="724"/>
      <c r="H32" s="654"/>
      <c r="I32" s="657"/>
      <c r="J32" s="654"/>
      <c r="K32" s="657"/>
      <c r="L32" s="654"/>
      <c r="M32" s="657"/>
      <c r="N32" s="714"/>
      <c r="O32" s="654"/>
      <c r="P32" s="1026"/>
      <c r="Q32" s="1178"/>
      <c r="R32" s="1178"/>
      <c r="S32" s="1178"/>
      <c r="T32" s="1178"/>
      <c r="U32" s="1178"/>
      <c r="V32" s="643">
        <f t="shared" si="3"/>
        <v>6</v>
      </c>
    </row>
    <row r="33" spans="1:22" x14ac:dyDescent="0.25">
      <c r="A33" s="1080"/>
      <c r="B33" s="657" t="str">
        <f t="shared" si="0"/>
        <v>So</v>
      </c>
      <c r="C33" s="724">
        <f t="shared" si="1"/>
        <v>0</v>
      </c>
      <c r="D33" s="1079">
        <f t="shared" si="2"/>
        <v>0</v>
      </c>
      <c r="E33" s="724"/>
      <c r="F33" s="724"/>
      <c r="G33" s="724"/>
      <c r="H33" s="654"/>
      <c r="I33" s="657"/>
      <c r="J33" s="654"/>
      <c r="K33" s="657"/>
      <c r="L33" s="654"/>
      <c r="M33" s="657"/>
      <c r="N33" s="714"/>
      <c r="O33" s="654"/>
      <c r="P33" s="1026"/>
      <c r="Q33" s="1178"/>
      <c r="R33" s="1178"/>
      <c r="S33" s="1178"/>
      <c r="T33" s="1178"/>
      <c r="U33" s="1178"/>
      <c r="V33" s="643">
        <f t="shared" si="3"/>
        <v>6</v>
      </c>
    </row>
    <row r="34" spans="1:22" x14ac:dyDescent="0.25">
      <c r="A34" s="1080"/>
      <c r="B34" s="657" t="str">
        <f t="shared" si="0"/>
        <v>So</v>
      </c>
      <c r="C34" s="724">
        <f t="shared" si="1"/>
        <v>0</v>
      </c>
      <c r="D34" s="1079">
        <f t="shared" si="2"/>
        <v>0</v>
      </c>
      <c r="E34" s="724"/>
      <c r="F34" s="724"/>
      <c r="G34" s="724"/>
      <c r="H34" s="654"/>
      <c r="I34" s="657"/>
      <c r="J34" s="654"/>
      <c r="K34" s="657"/>
      <c r="L34" s="654"/>
      <c r="M34" s="657"/>
      <c r="N34" s="714"/>
      <c r="O34" s="654"/>
      <c r="P34" s="1026"/>
      <c r="Q34" s="1178"/>
      <c r="R34" s="1178"/>
      <c r="S34" s="1178"/>
      <c r="T34" s="1178"/>
      <c r="U34" s="1178"/>
      <c r="V34" s="643">
        <f t="shared" si="3"/>
        <v>6</v>
      </c>
    </row>
    <row r="35" spans="1:22" x14ac:dyDescent="0.25">
      <c r="A35" s="1080"/>
      <c r="B35" s="657" t="str">
        <f t="shared" si="0"/>
        <v>So</v>
      </c>
      <c r="C35" s="724">
        <f t="shared" si="1"/>
        <v>0</v>
      </c>
      <c r="D35" s="1079">
        <f t="shared" si="2"/>
        <v>0</v>
      </c>
      <c r="E35" s="724"/>
      <c r="F35" s="724"/>
      <c r="G35" s="724"/>
      <c r="H35" s="654"/>
      <c r="I35" s="657"/>
      <c r="J35" s="654"/>
      <c r="K35" s="657"/>
      <c r="L35" s="654"/>
      <c r="M35" s="657"/>
      <c r="N35" s="714"/>
      <c r="O35" s="654"/>
      <c r="P35" s="1026"/>
      <c r="Q35" s="1178"/>
      <c r="R35" s="1178"/>
      <c r="S35" s="1178"/>
      <c r="T35" s="1178"/>
      <c r="U35" s="1178"/>
      <c r="V35" s="643">
        <f t="shared" si="3"/>
        <v>6</v>
      </c>
    </row>
    <row r="36" spans="1:22" ht="15.75" thickBot="1" x14ac:dyDescent="0.3">
      <c r="A36" s="1080"/>
      <c r="B36" s="658" t="str">
        <f t="shared" si="0"/>
        <v>So</v>
      </c>
      <c r="C36" s="724">
        <f t="shared" si="1"/>
        <v>0</v>
      </c>
      <c r="D36" s="1079">
        <f t="shared" si="2"/>
        <v>0</v>
      </c>
      <c r="E36" s="724"/>
      <c r="F36" s="724"/>
      <c r="G36" s="724"/>
      <c r="H36" s="654"/>
      <c r="I36" s="657"/>
      <c r="J36" s="654"/>
      <c r="K36" s="658"/>
      <c r="L36" s="654"/>
      <c r="M36" s="658"/>
      <c r="N36" s="1087"/>
      <c r="O36" s="655"/>
      <c r="P36" s="1027"/>
      <c r="Q36" s="1178"/>
      <c r="R36" s="1178"/>
      <c r="S36" s="1178"/>
      <c r="T36" s="1178"/>
      <c r="U36" s="1178"/>
      <c r="V36" s="643">
        <f t="shared" si="3"/>
        <v>6</v>
      </c>
    </row>
    <row r="39" spans="1:22" x14ac:dyDescent="0.25">
      <c r="E39" s="731"/>
      <c r="F39" s="731"/>
      <c r="O39" s="731"/>
    </row>
    <row r="40" spans="1:22" x14ac:dyDescent="0.25">
      <c r="C40" s="733"/>
      <c r="E40" s="732"/>
      <c r="F40" s="732"/>
    </row>
    <row r="41" spans="1:22" x14ac:dyDescent="0.25">
      <c r="O41" s="732">
        <f>SUM(C3:C32)</f>
        <v>0</v>
      </c>
      <c r="P41" t="s">
        <v>315</v>
      </c>
    </row>
    <row r="42" spans="1:22" x14ac:dyDescent="0.25">
      <c r="O42" s="732">
        <v>0</v>
      </c>
      <c r="P42" t="s">
        <v>316</v>
      </c>
    </row>
    <row r="46" spans="1:22" x14ac:dyDescent="0.25">
      <c r="C46" s="731"/>
    </row>
    <row r="51" spans="15:15" x14ac:dyDescent="0.25">
      <c r="O51" s="731">
        <f>TIME(0,30,0)</f>
        <v>2.0833333333333332E-2</v>
      </c>
    </row>
    <row r="52" spans="15:15" x14ac:dyDescent="0.25">
      <c r="O52" s="731">
        <f>TIME(1,0,0)</f>
        <v>4.1666666666666664E-2</v>
      </c>
    </row>
  </sheetData>
  <pageMargins left="0.7" right="0.7" top="0.75" bottom="0.75" header="0.3" footer="0.3"/>
  <tableParts count="1">
    <tablePart r:id="rId1"/>
  </tableParts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10D620-C235-DD40-9A87-E37FC6CC7687}">
  <dimension ref="A1:X52"/>
  <sheetViews>
    <sheetView zoomScaleNormal="60" zoomScaleSheetLayoutView="100" workbookViewId="0">
      <selection activeCell="V3" sqref="V3"/>
    </sheetView>
  </sheetViews>
  <sheetFormatPr defaultColWidth="8.5703125" defaultRowHeight="15" x14ac:dyDescent="0.25"/>
  <cols>
    <col min="1" max="1" width="8.5703125" bestFit="1" customWidth="1"/>
    <col min="2" max="2" width="9.140625" customWidth="1"/>
    <col min="3" max="3" width="11" bestFit="1" customWidth="1"/>
    <col min="4" max="4" width="7.42578125" bestFit="1" customWidth="1"/>
    <col min="5" max="5" width="12.8554687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8.7109375" bestFit="1" customWidth="1"/>
    <col min="21" max="21" width="13" bestFit="1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4" ht="21" x14ac:dyDescent="0.25">
      <c r="A1" s="1196"/>
      <c r="B1" s="1196"/>
    </row>
    <row r="2" spans="1:24" ht="15.75" thickBot="1" x14ac:dyDescent="0.3">
      <c r="A2" s="1193"/>
      <c r="B2" s="1193"/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11</v>
      </c>
      <c r="U2" s="650" t="s">
        <v>12</v>
      </c>
      <c r="V2" s="650" t="s">
        <v>13</v>
      </c>
      <c r="W2" s="650" t="s">
        <v>14</v>
      </c>
      <c r="X2" s="642"/>
    </row>
    <row r="3" spans="1:24" ht="15.75" thickBot="1" x14ac:dyDescent="0.3">
      <c r="A3" s="1289"/>
      <c r="B3" s="1292"/>
      <c r="C3" s="1080">
        <v>45017</v>
      </c>
      <c r="D3" s="656" t="str">
        <f t="shared" ref="D3:D36" si="0">CHOOSE(WEEKDAY(X3),"Po","Út","St","Čt","Pá","So","Ne")</f>
        <v>So</v>
      </c>
      <c r="E3" s="724">
        <f t="shared" ref="E3:E36" si="1">I3-G3-H3</f>
        <v>0</v>
      </c>
      <c r="F3" s="1079">
        <f t="shared" ref="F3:F36" si="2">(P3*E3)*24</f>
        <v>0</v>
      </c>
      <c r="G3" s="724"/>
      <c r="H3" s="724"/>
      <c r="I3" s="724"/>
      <c r="J3" s="654"/>
      <c r="K3" s="657"/>
      <c r="L3" s="654"/>
      <c r="M3" s="656"/>
      <c r="N3" s="654"/>
      <c r="O3" s="657"/>
      <c r="P3" s="713"/>
      <c r="Q3" s="1081">
        <f>(Q5+Q7)</f>
        <v>24</v>
      </c>
      <c r="R3" s="656">
        <f t="shared" ref="R3" si="3">R5+R7</f>
        <v>0</v>
      </c>
      <c r="S3" s="1094">
        <f>'03hod24'!Q6</f>
        <v>0</v>
      </c>
      <c r="T3" s="644" t="s">
        <v>17</v>
      </c>
      <c r="U3" s="1092" t="str">
        <f>'03hod24'!S6</f>
        <v xml:space="preserve">Výplata za Březen </v>
      </c>
      <c r="V3" s="1093" t="str">
        <f>'03hod24'!T6</f>
        <v>xx.04.2023</v>
      </c>
      <c r="W3" s="722">
        <f>V8*20</f>
        <v>0</v>
      </c>
      <c r="X3" s="642">
        <f t="shared" ref="X3:X33" si="4">WEEKDAY(C3,2)</f>
        <v>6</v>
      </c>
    </row>
    <row r="4" spans="1:24" x14ac:dyDescent="0.25">
      <c r="A4" s="1289"/>
      <c r="B4" s="1292"/>
      <c r="C4" s="1080">
        <v>45018</v>
      </c>
      <c r="D4" s="657" t="str">
        <f t="shared" si="0"/>
        <v>Ne</v>
      </c>
      <c r="E4" s="724">
        <f t="shared" si="1"/>
        <v>0</v>
      </c>
      <c r="F4" s="1079">
        <f t="shared" si="2"/>
        <v>0</v>
      </c>
      <c r="G4" s="724"/>
      <c r="H4" s="724"/>
      <c r="I4" s="724"/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 t="s">
        <v>48</v>
      </c>
      <c r="U4" s="611" t="s">
        <v>48</v>
      </c>
      <c r="V4" s="874"/>
      <c r="W4" s="718"/>
      <c r="X4" s="642">
        <f t="shared" si="4"/>
        <v>7</v>
      </c>
    </row>
    <row r="5" spans="1:24" x14ac:dyDescent="0.25">
      <c r="A5" s="1290"/>
      <c r="B5" s="1291"/>
      <c r="C5" s="1080">
        <v>45019</v>
      </c>
      <c r="D5" s="657" t="str">
        <f t="shared" si="0"/>
        <v>Po</v>
      </c>
      <c r="E5" s="724">
        <f t="shared" si="1"/>
        <v>0</v>
      </c>
      <c r="F5" s="1079">
        <f t="shared" si="2"/>
        <v>0</v>
      </c>
      <c r="G5" s="724"/>
      <c r="H5" s="724"/>
      <c r="I5" s="724"/>
      <c r="J5" s="654"/>
      <c r="K5" s="657"/>
      <c r="L5" s="654"/>
      <c r="M5" s="657"/>
      <c r="N5" s="654"/>
      <c r="O5" s="657"/>
      <c r="P5" s="714"/>
      <c r="Q5" s="1082">
        <f>Q41*24</f>
        <v>24</v>
      </c>
      <c r="R5" s="657">
        <v>0</v>
      </c>
      <c r="S5" s="738">
        <v>0</v>
      </c>
      <c r="T5" s="611" t="s">
        <v>17</v>
      </c>
      <c r="U5" s="611" t="s">
        <v>158</v>
      </c>
      <c r="V5" s="646"/>
      <c r="W5" s="718"/>
      <c r="X5" s="642">
        <f t="shared" si="4"/>
        <v>1</v>
      </c>
    </row>
    <row r="6" spans="1:24" x14ac:dyDescent="0.25">
      <c r="A6" s="1290"/>
      <c r="B6" s="1291"/>
      <c r="C6" s="1080">
        <v>45020</v>
      </c>
      <c r="D6" s="657" t="str">
        <f t="shared" si="0"/>
        <v>Út</v>
      </c>
      <c r="E6" s="724">
        <f t="shared" si="1"/>
        <v>0</v>
      </c>
      <c r="F6" s="1079">
        <f t="shared" si="2"/>
        <v>0</v>
      </c>
      <c r="G6" s="724"/>
      <c r="H6" s="724"/>
      <c r="I6" s="724"/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 t="s">
        <v>17</v>
      </c>
      <c r="U6" s="611" t="s">
        <v>595</v>
      </c>
      <c r="V6" s="646" t="s">
        <v>599</v>
      </c>
      <c r="W6" s="718"/>
      <c r="X6" s="642">
        <f t="shared" si="4"/>
        <v>2</v>
      </c>
    </row>
    <row r="7" spans="1:24" ht="15.75" thickBot="1" x14ac:dyDescent="0.3">
      <c r="A7" s="1290"/>
      <c r="B7" s="1291"/>
      <c r="C7" s="1080">
        <v>45021</v>
      </c>
      <c r="D7" s="657" t="str">
        <f t="shared" si="0"/>
        <v>St</v>
      </c>
      <c r="E7" s="724">
        <f t="shared" si="1"/>
        <v>0</v>
      </c>
      <c r="F7" s="1079">
        <f t="shared" si="2"/>
        <v>0</v>
      </c>
      <c r="G7" s="724"/>
      <c r="H7" s="724"/>
      <c r="I7" s="724"/>
      <c r="J7" s="654"/>
      <c r="K7" s="657"/>
      <c r="L7" s="654"/>
      <c r="M7" s="657"/>
      <c r="N7" s="654"/>
      <c r="O7" s="657"/>
      <c r="P7" s="714"/>
      <c r="Q7" s="1082">
        <f>Q42*24</f>
        <v>0</v>
      </c>
      <c r="R7" s="657">
        <v>0</v>
      </c>
      <c r="S7" s="712" t="s">
        <v>134</v>
      </c>
      <c r="T7" s="647"/>
      <c r="U7" s="647" t="s">
        <v>48</v>
      </c>
      <c r="V7" s="648"/>
      <c r="W7" s="718"/>
      <c r="X7" s="642">
        <f t="shared" si="4"/>
        <v>3</v>
      </c>
    </row>
    <row r="8" spans="1:24" x14ac:dyDescent="0.25">
      <c r="A8" s="1290"/>
      <c r="B8" s="1291"/>
      <c r="C8" s="1080">
        <v>45022</v>
      </c>
      <c r="D8" s="657" t="str">
        <f t="shared" si="0"/>
        <v>Čt</v>
      </c>
      <c r="E8" s="724">
        <f t="shared" si="1"/>
        <v>0</v>
      </c>
      <c r="F8" s="1079">
        <f t="shared" si="2"/>
        <v>0</v>
      </c>
      <c r="G8" s="724"/>
      <c r="H8" s="724"/>
      <c r="I8" s="724"/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0</v>
      </c>
      <c r="T8" s="718"/>
      <c r="U8" s="718"/>
      <c r="V8" s="718"/>
      <c r="W8" s="718"/>
      <c r="X8" s="642">
        <f t="shared" si="4"/>
        <v>4</v>
      </c>
    </row>
    <row r="9" spans="1:24" x14ac:dyDescent="0.25">
      <c r="A9" s="1290"/>
      <c r="B9" s="1291"/>
      <c r="C9" s="1080">
        <v>45023</v>
      </c>
      <c r="D9" s="657" t="str">
        <f t="shared" si="0"/>
        <v>Pá</v>
      </c>
      <c r="E9" s="724">
        <f t="shared" si="1"/>
        <v>0</v>
      </c>
      <c r="F9" s="1079">
        <f t="shared" si="2"/>
        <v>0</v>
      </c>
      <c r="G9" s="724"/>
      <c r="H9" s="724"/>
      <c r="I9" s="724"/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718"/>
      <c r="U9" s="718"/>
      <c r="V9" s="718"/>
      <c r="W9" s="718"/>
      <c r="X9" s="642">
        <f t="shared" si="4"/>
        <v>5</v>
      </c>
    </row>
    <row r="10" spans="1:24" x14ac:dyDescent="0.25">
      <c r="A10" s="1290"/>
      <c r="B10" s="1291"/>
      <c r="C10" s="1080">
        <v>45024</v>
      </c>
      <c r="D10" s="657" t="str">
        <f t="shared" si="0"/>
        <v>So</v>
      </c>
      <c r="E10" s="724">
        <f t="shared" si="1"/>
        <v>0</v>
      </c>
      <c r="F10" s="1079">
        <f t="shared" si="2"/>
        <v>0</v>
      </c>
      <c r="G10" s="724"/>
      <c r="H10" s="724"/>
      <c r="I10" s="724"/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0</v>
      </c>
      <c r="T10" s="718"/>
      <c r="U10" s="718"/>
      <c r="V10" s="718"/>
      <c r="W10" s="718"/>
      <c r="X10" s="642">
        <f t="shared" si="4"/>
        <v>6</v>
      </c>
    </row>
    <row r="11" spans="1:24" x14ac:dyDescent="0.25">
      <c r="A11" s="1290"/>
      <c r="B11" s="1291"/>
      <c r="C11" s="1080">
        <v>45025</v>
      </c>
      <c r="D11" s="657" t="str">
        <f t="shared" si="0"/>
        <v>Ne</v>
      </c>
      <c r="E11" s="724">
        <f t="shared" si="1"/>
        <v>0</v>
      </c>
      <c r="F11" s="1079">
        <f t="shared" si="2"/>
        <v>0</v>
      </c>
      <c r="G11" s="724"/>
      <c r="H11" s="724"/>
      <c r="I11" s="724"/>
      <c r="J11" s="654"/>
      <c r="K11" s="657"/>
      <c r="L11" s="654"/>
      <c r="M11" s="657"/>
      <c r="N11" s="654"/>
      <c r="O11" s="657"/>
      <c r="P11" s="714"/>
      <c r="Q11" s="1083">
        <f>(Q3*380)+W3</f>
        <v>9120</v>
      </c>
      <c r="R11" s="1088">
        <f>SUM(R3*380)</f>
        <v>0</v>
      </c>
      <c r="S11" s="719"/>
      <c r="T11" s="718"/>
      <c r="U11" s="718"/>
      <c r="V11" s="718"/>
      <c r="W11" s="718"/>
      <c r="X11" s="642">
        <f t="shared" si="4"/>
        <v>7</v>
      </c>
    </row>
    <row r="12" spans="1:24" x14ac:dyDescent="0.25">
      <c r="A12" s="1289"/>
      <c r="B12" s="1292"/>
      <c r="C12" s="1080">
        <v>45026</v>
      </c>
      <c r="D12" s="657" t="str">
        <f t="shared" si="0"/>
        <v>Po</v>
      </c>
      <c r="E12" s="724">
        <f t="shared" si="1"/>
        <v>0</v>
      </c>
      <c r="F12" s="1079">
        <f t="shared" si="2"/>
        <v>0</v>
      </c>
      <c r="G12" s="724"/>
      <c r="H12" s="724"/>
      <c r="I12" s="724"/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718"/>
      <c r="T12" s="718"/>
      <c r="U12" s="718"/>
      <c r="V12" s="718"/>
      <c r="W12" s="718"/>
      <c r="X12" s="642">
        <f t="shared" si="4"/>
        <v>1</v>
      </c>
    </row>
    <row r="13" spans="1:24" x14ac:dyDescent="0.25">
      <c r="A13" s="1289"/>
      <c r="B13" s="1292"/>
      <c r="C13" s="1080">
        <v>45027</v>
      </c>
      <c r="D13" s="657" t="str">
        <f t="shared" si="0"/>
        <v>Út</v>
      </c>
      <c r="E13" s="724">
        <f>I13-G13-H13</f>
        <v>0</v>
      </c>
      <c r="F13" s="1079">
        <f t="shared" si="2"/>
        <v>0</v>
      </c>
      <c r="G13" s="724"/>
      <c r="H13" s="724"/>
      <c r="I13" s="724"/>
      <c r="J13" s="654"/>
      <c r="K13" s="657"/>
      <c r="L13" s="654"/>
      <c r="M13" s="657"/>
      <c r="N13" s="654"/>
      <c r="O13" s="657"/>
      <c r="P13" s="714"/>
      <c r="Q13" s="1083">
        <f>(Q11+Q21+Q19-Q23)-Q15-R25</f>
        <v>1417.3436999999985</v>
      </c>
      <c r="R13" s="1088">
        <f>(R11+R19+R21-R23)-R15-R25</f>
        <v>0</v>
      </c>
      <c r="S13" s="718"/>
      <c r="T13" s="718"/>
      <c r="U13" s="718"/>
      <c r="V13" s="718"/>
      <c r="W13" s="718"/>
      <c r="X13" s="642">
        <f t="shared" si="4"/>
        <v>2</v>
      </c>
    </row>
    <row r="14" spans="1:24" x14ac:dyDescent="0.25">
      <c r="A14" s="1289"/>
      <c r="B14" s="1292"/>
      <c r="C14" s="1080">
        <v>45028</v>
      </c>
      <c r="D14" s="657" t="str">
        <f t="shared" si="0"/>
        <v>St</v>
      </c>
      <c r="E14" s="724">
        <f t="shared" si="1"/>
        <v>0</v>
      </c>
      <c r="F14" s="1079">
        <f t="shared" si="2"/>
        <v>0</v>
      </c>
      <c r="G14" s="724"/>
      <c r="H14" s="724"/>
      <c r="I14" s="724"/>
      <c r="J14" s="654"/>
      <c r="K14" s="657"/>
      <c r="L14" s="654"/>
      <c r="M14" s="657"/>
      <c r="N14" s="654"/>
      <c r="O14" s="657"/>
      <c r="P14" s="714"/>
      <c r="Q14" s="654" t="s">
        <v>26</v>
      </c>
      <c r="R14" s="1088" t="s">
        <v>26</v>
      </c>
      <c r="S14" s="718"/>
      <c r="T14" s="718"/>
      <c r="U14" s="718"/>
      <c r="V14" s="718"/>
      <c r="W14" s="718"/>
      <c r="X14" s="642">
        <f t="shared" si="4"/>
        <v>3</v>
      </c>
    </row>
    <row r="15" spans="1:24" x14ac:dyDescent="0.25">
      <c r="A15" s="1289"/>
      <c r="B15" s="1292"/>
      <c r="C15" s="1080">
        <v>45029</v>
      </c>
      <c r="D15" s="657" t="str">
        <f t="shared" si="0"/>
        <v>Čt</v>
      </c>
      <c r="E15" s="724">
        <f t="shared" si="1"/>
        <v>0</v>
      </c>
      <c r="F15" s="1079">
        <f t="shared" si="2"/>
        <v>0</v>
      </c>
      <c r="G15" s="724"/>
      <c r="H15" s="724"/>
      <c r="I15" s="724"/>
      <c r="J15" s="654"/>
      <c r="K15" s="657"/>
      <c r="L15" s="654"/>
      <c r="M15" s="657"/>
      <c r="N15" s="654"/>
      <c r="O15" s="657"/>
      <c r="P15" s="714"/>
      <c r="Q15" s="1083">
        <f>(Q17*25.53)</f>
        <v>7702.6563000000015</v>
      </c>
      <c r="R15" s="1088">
        <f>(R17*25.53)</f>
        <v>0</v>
      </c>
      <c r="S15" s="923" t="s">
        <v>458</v>
      </c>
      <c r="T15" s="1004">
        <f>R15+R23-R19</f>
        <v>0</v>
      </c>
      <c r="U15" s="1007"/>
      <c r="V15" s="923" t="s">
        <v>462</v>
      </c>
      <c r="W15" s="1004">
        <f>R15+R23</f>
        <v>0</v>
      </c>
      <c r="X15" s="642">
        <f t="shared" si="4"/>
        <v>4</v>
      </c>
    </row>
    <row r="16" spans="1:24" x14ac:dyDescent="0.25">
      <c r="A16" s="1289"/>
      <c r="B16" s="1292"/>
      <c r="C16" s="1080">
        <v>45030</v>
      </c>
      <c r="D16" s="657" t="str">
        <f t="shared" si="0"/>
        <v>Pá</v>
      </c>
      <c r="E16" s="724">
        <f t="shared" si="1"/>
        <v>0</v>
      </c>
      <c r="F16" s="1079">
        <f t="shared" si="2"/>
        <v>0</v>
      </c>
      <c r="G16" s="724"/>
      <c r="H16" s="724"/>
      <c r="I16" s="724"/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001" t="s">
        <v>459</v>
      </c>
      <c r="T16" s="1002">
        <f>R11</f>
        <v>0</v>
      </c>
      <c r="U16" s="1008"/>
      <c r="V16" s="1001" t="s">
        <v>463</v>
      </c>
      <c r="W16" s="1002">
        <f>R11+R19+R21+Q29</f>
        <v>0</v>
      </c>
      <c r="X16" s="642">
        <f t="shared" si="4"/>
        <v>5</v>
      </c>
    </row>
    <row r="17" spans="1:24" x14ac:dyDescent="0.25">
      <c r="A17" s="1289"/>
      <c r="B17" s="1292"/>
      <c r="C17" s="1080">
        <v>45031</v>
      </c>
      <c r="D17" s="657" t="str">
        <f t="shared" si="0"/>
        <v>So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154">
        <f>'02cash'!O44</f>
        <v>301.71000000000004</v>
      </c>
      <c r="R17" s="1089">
        <v>0</v>
      </c>
      <c r="S17" s="1001"/>
      <c r="T17" s="1003">
        <f>T16-T15</f>
        <v>0</v>
      </c>
      <c r="U17" s="1008"/>
      <c r="V17" s="1001" t="s">
        <v>513</v>
      </c>
      <c r="W17" s="1002">
        <f>W16-W15</f>
        <v>0</v>
      </c>
      <c r="X17" s="642">
        <f t="shared" si="4"/>
        <v>6</v>
      </c>
    </row>
    <row r="18" spans="1:24" x14ac:dyDescent="0.25">
      <c r="A18" s="1289"/>
      <c r="B18" s="1292"/>
      <c r="C18" s="1080">
        <v>45032</v>
      </c>
      <c r="D18" s="657" t="str">
        <f t="shared" si="0"/>
        <v>Ne</v>
      </c>
      <c r="E18" s="724">
        <f t="shared" si="1"/>
        <v>0</v>
      </c>
      <c r="F18" s="1079">
        <f t="shared" si="2"/>
        <v>0</v>
      </c>
      <c r="G18" s="724"/>
      <c r="H18" s="724"/>
      <c r="I18" s="724"/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002">
        <f>T17-S6-S8</f>
        <v>0</v>
      </c>
      <c r="T18" s="1001"/>
      <c r="U18" s="1009"/>
      <c r="V18" s="1001" t="s">
        <v>514</v>
      </c>
      <c r="W18" s="1002">
        <f>W17-S6-S8</f>
        <v>0</v>
      </c>
      <c r="X18" s="642">
        <f t="shared" si="4"/>
        <v>7</v>
      </c>
    </row>
    <row r="19" spans="1:24" x14ac:dyDescent="0.25">
      <c r="A19" s="1290"/>
      <c r="B19" s="1291"/>
      <c r="C19" s="1080">
        <v>45033</v>
      </c>
      <c r="D19" s="657" t="str">
        <f t="shared" si="0"/>
        <v>Po</v>
      </c>
      <c r="E19" s="724">
        <f t="shared" si="1"/>
        <v>0</v>
      </c>
      <c r="F19" s="1079">
        <f t="shared" si="2"/>
        <v>0</v>
      </c>
      <c r="G19" s="724"/>
      <c r="H19" s="724"/>
      <c r="I19" s="724"/>
      <c r="J19" s="654"/>
      <c r="K19" s="657"/>
      <c r="L19" s="654"/>
      <c r="M19" s="657"/>
      <c r="N19" s="654"/>
      <c r="O19" s="657"/>
      <c r="P19" s="714"/>
      <c r="Q19" s="1083"/>
      <c r="R19" s="1088"/>
      <c r="S19" s="1001"/>
      <c r="T19" s="1001"/>
      <c r="U19" s="1008"/>
      <c r="V19" s="1001"/>
      <c r="W19" s="1001"/>
      <c r="X19" s="642">
        <f t="shared" si="4"/>
        <v>1</v>
      </c>
    </row>
    <row r="20" spans="1:24" x14ac:dyDescent="0.25">
      <c r="A20" s="1290"/>
      <c r="B20" s="1291"/>
      <c r="C20" s="1080">
        <v>45034</v>
      </c>
      <c r="D20" s="657" t="str">
        <f t="shared" si="0"/>
        <v>Út</v>
      </c>
      <c r="E20" s="724">
        <f t="shared" si="1"/>
        <v>0</v>
      </c>
      <c r="F20" s="1079">
        <f t="shared" si="2"/>
        <v>0</v>
      </c>
      <c r="G20" s="724"/>
      <c r="H20" s="724"/>
      <c r="I20" s="724"/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001"/>
      <c r="T20" s="1001"/>
      <c r="U20" s="1008"/>
      <c r="V20" s="1001"/>
      <c r="W20" s="1001"/>
      <c r="X20" s="642">
        <f t="shared" si="4"/>
        <v>2</v>
      </c>
    </row>
    <row r="21" spans="1:24" x14ac:dyDescent="0.25">
      <c r="A21" s="1290"/>
      <c r="B21" s="1291"/>
      <c r="C21" s="1080">
        <v>45035</v>
      </c>
      <c r="D21" s="657" t="str">
        <f t="shared" si="0"/>
        <v>St</v>
      </c>
      <c r="E21" s="724">
        <f t="shared" si="1"/>
        <v>0.35416666666666663</v>
      </c>
      <c r="F21" s="1079">
        <f t="shared" si="2"/>
        <v>0</v>
      </c>
      <c r="G21" s="724">
        <v>0.29166666666666669</v>
      </c>
      <c r="H21" s="724">
        <f>Q52</f>
        <v>4.1666666666666664E-2</v>
      </c>
      <c r="I21" s="724">
        <v>0.6875</v>
      </c>
      <c r="J21" s="654"/>
      <c r="K21" s="657"/>
      <c r="L21" s="654"/>
      <c r="M21" s="657"/>
      <c r="N21" s="654"/>
      <c r="O21" s="657"/>
      <c r="P21" s="714"/>
      <c r="Q21" s="1083">
        <v>0</v>
      </c>
      <c r="R21" s="1088">
        <v>0</v>
      </c>
      <c r="S21" s="1001"/>
      <c r="T21" s="1001"/>
      <c r="U21" s="1008"/>
      <c r="V21" s="1001"/>
      <c r="W21" s="1001"/>
      <c r="X21" s="642">
        <f t="shared" si="4"/>
        <v>3</v>
      </c>
    </row>
    <row r="22" spans="1:24" x14ac:dyDescent="0.25">
      <c r="A22" s="1290"/>
      <c r="B22" s="1291"/>
      <c r="C22" s="1080">
        <v>45036</v>
      </c>
      <c r="D22" s="657" t="str">
        <f t="shared" si="0"/>
        <v>Čt</v>
      </c>
      <c r="E22" s="724">
        <f t="shared" si="1"/>
        <v>0.33333333333333337</v>
      </c>
      <c r="F22" s="1079">
        <f t="shared" si="2"/>
        <v>0</v>
      </c>
      <c r="G22" s="724">
        <v>0.33333333333333331</v>
      </c>
      <c r="H22" s="724">
        <f>Q52</f>
        <v>4.1666666666666664E-2</v>
      </c>
      <c r="I22" s="724">
        <v>0.70833333333333337</v>
      </c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001"/>
      <c r="T22" s="1001"/>
      <c r="U22" s="1008"/>
      <c r="V22" s="1001"/>
      <c r="W22" s="1001"/>
      <c r="X22" s="642">
        <f t="shared" si="4"/>
        <v>4</v>
      </c>
    </row>
    <row r="23" spans="1:24" x14ac:dyDescent="0.25">
      <c r="A23" s="1290"/>
      <c r="B23" s="1291"/>
      <c r="C23" s="1080">
        <v>45037</v>
      </c>
      <c r="D23" s="657" t="str">
        <f t="shared" si="0"/>
        <v>Pá</v>
      </c>
      <c r="E23" s="724">
        <f t="shared" si="1"/>
        <v>0.3125</v>
      </c>
      <c r="F23" s="1079">
        <f t="shared" si="2"/>
        <v>0</v>
      </c>
      <c r="G23" s="724">
        <v>0.35416666666666669</v>
      </c>
      <c r="H23" s="724">
        <f>Q52</f>
        <v>4.1666666666666664E-2</v>
      </c>
      <c r="I23" s="724">
        <v>0.70833333333333337</v>
      </c>
      <c r="J23" s="654"/>
      <c r="K23" s="657"/>
      <c r="L23" s="654"/>
      <c r="M23" s="657"/>
      <c r="N23" s="654"/>
      <c r="O23" s="657"/>
      <c r="P23" s="714"/>
      <c r="Q23" s="1083">
        <v>0</v>
      </c>
      <c r="R23" s="1088">
        <v>0</v>
      </c>
      <c r="S23" s="1001"/>
      <c r="T23" s="1017"/>
      <c r="U23" s="718"/>
      <c r="V23" s="1001"/>
      <c r="W23" s="1001"/>
      <c r="X23" s="642">
        <f t="shared" si="4"/>
        <v>5</v>
      </c>
    </row>
    <row r="24" spans="1:24" x14ac:dyDescent="0.25">
      <c r="A24" s="1290"/>
      <c r="B24" s="1291"/>
      <c r="C24" s="1080">
        <v>45038</v>
      </c>
      <c r="D24" s="657" t="str">
        <f t="shared" si="0"/>
        <v>So</v>
      </c>
      <c r="E24" s="724">
        <f t="shared" si="1"/>
        <v>0</v>
      </c>
      <c r="F24" s="1079">
        <f t="shared" si="2"/>
        <v>0</v>
      </c>
      <c r="G24" s="724"/>
      <c r="H24" s="724"/>
      <c r="I24" s="724"/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015">
        <f>S18-R25</f>
        <v>0</v>
      </c>
      <c r="T24" s="1018"/>
      <c r="U24" s="1015">
        <f>W18-Q27</f>
        <v>0</v>
      </c>
      <c r="V24" s="1001"/>
      <c r="W24" s="1001"/>
      <c r="X24" s="642">
        <f t="shared" si="4"/>
        <v>6</v>
      </c>
    </row>
    <row r="25" spans="1:24" x14ac:dyDescent="0.25">
      <c r="A25" s="1290"/>
      <c r="B25" s="1291"/>
      <c r="C25" s="1080">
        <v>45039</v>
      </c>
      <c r="D25" s="657" t="str">
        <f t="shared" si="0"/>
        <v>Ne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0</v>
      </c>
      <c r="R25" s="1088">
        <f>Q27-Q29</f>
        <v>0</v>
      </c>
      <c r="S25" s="1020"/>
      <c r="T25" s="1019"/>
      <c r="U25" s="1006"/>
      <c r="V25" s="1006"/>
      <c r="W25" s="1006"/>
      <c r="X25" s="642">
        <f t="shared" si="4"/>
        <v>7</v>
      </c>
    </row>
    <row r="26" spans="1:24" x14ac:dyDescent="0.25">
      <c r="A26" s="1289"/>
      <c r="B26" s="1292"/>
      <c r="C26" s="1080">
        <v>45040</v>
      </c>
      <c r="D26" s="657" t="str">
        <f t="shared" si="0"/>
        <v>Po</v>
      </c>
      <c r="E26" s="724">
        <f t="shared" si="1"/>
        <v>0</v>
      </c>
      <c r="F26" s="1079">
        <f t="shared" si="2"/>
        <v>0</v>
      </c>
      <c r="G26" s="724"/>
      <c r="H26" s="724"/>
      <c r="I26" s="724"/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718"/>
      <c r="T26" s="718"/>
      <c r="U26" s="718"/>
      <c r="V26" s="718"/>
      <c r="W26" s="718"/>
      <c r="X26" s="642">
        <f t="shared" si="4"/>
        <v>1</v>
      </c>
    </row>
    <row r="27" spans="1:24" x14ac:dyDescent="0.25">
      <c r="A27" s="1289"/>
      <c r="B27" s="1292"/>
      <c r="C27" s="1080">
        <v>45041</v>
      </c>
      <c r="D27" s="657" t="str">
        <f t="shared" si="0"/>
        <v>Út</v>
      </c>
      <c r="E27" s="724">
        <f t="shared" si="1"/>
        <v>0</v>
      </c>
      <c r="F27" s="1079">
        <f t="shared" si="2"/>
        <v>0</v>
      </c>
      <c r="G27" s="724"/>
      <c r="H27" s="724"/>
      <c r="I27" s="724"/>
      <c r="J27" s="654"/>
      <c r="K27" s="657"/>
      <c r="L27" s="654"/>
      <c r="M27" s="657"/>
      <c r="N27" s="654"/>
      <c r="O27" s="657"/>
      <c r="P27" s="714"/>
      <c r="Q27" s="1083">
        <v>0</v>
      </c>
      <c r="R27" s="1088"/>
      <c r="S27" s="718"/>
      <c r="T27" s="718"/>
      <c r="U27" s="718"/>
      <c r="V27" s="718"/>
      <c r="W27" s="718"/>
      <c r="X27" s="642">
        <f t="shared" si="4"/>
        <v>2</v>
      </c>
    </row>
    <row r="28" spans="1:24" x14ac:dyDescent="0.25">
      <c r="A28" s="1289"/>
      <c r="B28" s="1292"/>
      <c r="C28" s="1080">
        <v>45042</v>
      </c>
      <c r="D28" s="657" t="str">
        <f t="shared" si="0"/>
        <v>St</v>
      </c>
      <c r="E28" s="724">
        <f t="shared" si="1"/>
        <v>0</v>
      </c>
      <c r="F28" s="1079">
        <f t="shared" si="2"/>
        <v>0</v>
      </c>
      <c r="G28" s="724"/>
      <c r="H28" s="724"/>
      <c r="I28" s="724"/>
      <c r="J28" s="654"/>
      <c r="K28" s="657"/>
      <c r="L28" s="654"/>
      <c r="M28" s="657"/>
      <c r="N28" s="654"/>
      <c r="O28" s="657"/>
      <c r="P28" s="714"/>
      <c r="Q28" s="654" t="s">
        <v>373</v>
      </c>
      <c r="R28" s="1026"/>
      <c r="S28" s="718"/>
      <c r="T28" s="718"/>
      <c r="U28" s="718"/>
      <c r="V28" s="718"/>
      <c r="W28" s="718"/>
      <c r="X28" s="642">
        <f t="shared" si="4"/>
        <v>3</v>
      </c>
    </row>
    <row r="29" spans="1:24" x14ac:dyDescent="0.25">
      <c r="A29" s="1289"/>
      <c r="B29" s="1292"/>
      <c r="C29" s="1080">
        <v>45043</v>
      </c>
      <c r="D29" s="657" t="str">
        <f t="shared" si="0"/>
        <v>Čt</v>
      </c>
      <c r="E29" s="724">
        <f t="shared" si="1"/>
        <v>0</v>
      </c>
      <c r="F29" s="1079">
        <f t="shared" si="2"/>
        <v>0</v>
      </c>
      <c r="G29" s="724"/>
      <c r="H29" s="724"/>
      <c r="I29" s="724"/>
      <c r="J29" s="654"/>
      <c r="K29" s="657"/>
      <c r="L29" s="654"/>
      <c r="M29" s="657"/>
      <c r="N29" s="654"/>
      <c r="O29" s="657"/>
      <c r="P29" s="714"/>
      <c r="Q29" s="1095">
        <f>'03hod24'!O27</f>
        <v>0</v>
      </c>
      <c r="R29" s="1026"/>
      <c r="S29" s="718"/>
      <c r="T29" s="718"/>
      <c r="U29" s="718"/>
      <c r="V29" s="718"/>
      <c r="W29" s="718"/>
      <c r="X29" s="642">
        <f t="shared" si="4"/>
        <v>4</v>
      </c>
    </row>
    <row r="30" spans="1:24" x14ac:dyDescent="0.25">
      <c r="A30" s="1289"/>
      <c r="B30" s="1292"/>
      <c r="C30" s="1080">
        <v>45044</v>
      </c>
      <c r="D30" s="657" t="str">
        <f t="shared" si="0"/>
        <v>Pá</v>
      </c>
      <c r="E30" s="724">
        <f t="shared" si="1"/>
        <v>0</v>
      </c>
      <c r="F30" s="1079">
        <f t="shared" si="2"/>
        <v>0</v>
      </c>
      <c r="G30" s="724"/>
      <c r="H30" s="724"/>
      <c r="I30" s="724"/>
      <c r="J30" s="654"/>
      <c r="K30" s="657"/>
      <c r="L30" s="654"/>
      <c r="M30" s="657"/>
      <c r="N30" s="654"/>
      <c r="O30" s="657"/>
      <c r="P30" s="714"/>
      <c r="Q30" s="1083"/>
      <c r="R30" s="1083"/>
      <c r="S30" s="718"/>
      <c r="T30" s="718"/>
      <c r="U30" s="718"/>
      <c r="V30" s="718"/>
      <c r="W30" s="718"/>
      <c r="X30" s="642">
        <f t="shared" si="4"/>
        <v>5</v>
      </c>
    </row>
    <row r="31" spans="1:24" x14ac:dyDescent="0.25">
      <c r="A31" s="1289"/>
      <c r="B31" s="1292"/>
      <c r="C31" s="1080">
        <v>45045</v>
      </c>
      <c r="D31" s="657" t="str">
        <f t="shared" si="0"/>
        <v>So</v>
      </c>
      <c r="E31" s="724">
        <f t="shared" si="1"/>
        <v>0</v>
      </c>
      <c r="F31" s="1079">
        <f t="shared" si="2"/>
        <v>0</v>
      </c>
      <c r="G31" s="724"/>
      <c r="H31" s="724"/>
      <c r="I31" s="724"/>
      <c r="J31" s="654"/>
      <c r="K31" s="657"/>
      <c r="L31" s="654"/>
      <c r="M31" s="657"/>
      <c r="N31" s="654"/>
      <c r="O31" s="657"/>
      <c r="P31" s="714"/>
      <c r="Q31" s="918"/>
      <c r="R31" s="1091"/>
      <c r="S31" s="718"/>
      <c r="T31" s="718"/>
      <c r="U31" s="718"/>
      <c r="V31" s="718"/>
      <c r="W31" s="718"/>
      <c r="X31" s="642">
        <f t="shared" si="4"/>
        <v>6</v>
      </c>
    </row>
    <row r="32" spans="1:24" x14ac:dyDescent="0.25">
      <c r="A32" s="1289"/>
      <c r="B32" s="1292"/>
      <c r="C32" s="1080">
        <v>45046</v>
      </c>
      <c r="D32" s="657" t="str">
        <f t="shared" si="0"/>
        <v>Ne</v>
      </c>
      <c r="E32" s="724">
        <f t="shared" si="1"/>
        <v>0</v>
      </c>
      <c r="F32" s="1079">
        <f t="shared" si="2"/>
        <v>0</v>
      </c>
      <c r="G32" s="724"/>
      <c r="H32" s="724"/>
      <c r="I32" s="724"/>
      <c r="J32" s="654"/>
      <c r="K32" s="657"/>
      <c r="L32" s="654"/>
      <c r="M32" s="657"/>
      <c r="N32" s="654"/>
      <c r="O32" s="657"/>
      <c r="P32" s="714"/>
      <c r="Q32" s="654"/>
      <c r="R32" s="1026"/>
      <c r="S32" s="718"/>
      <c r="T32" s="718"/>
      <c r="U32" s="718"/>
      <c r="V32" s="718"/>
      <c r="W32" s="718"/>
      <c r="X32" s="642">
        <f t="shared" si="4"/>
        <v>7</v>
      </c>
    </row>
    <row r="33" spans="1:24" x14ac:dyDescent="0.25">
      <c r="A33" s="1289"/>
      <c r="B33" s="1292"/>
      <c r="C33" s="1080">
        <v>45047</v>
      </c>
      <c r="D33" s="657" t="str">
        <f t="shared" si="0"/>
        <v>Po</v>
      </c>
      <c r="E33" s="724">
        <f t="shared" si="1"/>
        <v>0</v>
      </c>
      <c r="F33" s="1079">
        <f t="shared" si="2"/>
        <v>0</v>
      </c>
      <c r="G33" s="724"/>
      <c r="H33" s="724"/>
      <c r="I33" s="724"/>
      <c r="J33" s="654"/>
      <c r="K33" s="657"/>
      <c r="L33" s="654"/>
      <c r="M33" s="657"/>
      <c r="N33" s="654"/>
      <c r="O33" s="657"/>
      <c r="P33" s="714"/>
      <c r="Q33" s="654"/>
      <c r="R33" s="1026"/>
      <c r="S33" s="718"/>
      <c r="T33" s="718"/>
      <c r="U33" s="718"/>
      <c r="V33" s="718"/>
      <c r="W33" s="718"/>
      <c r="X33" s="642">
        <f t="shared" si="4"/>
        <v>1</v>
      </c>
    </row>
    <row r="34" spans="1:24" x14ac:dyDescent="0.25">
      <c r="A34" s="1290"/>
      <c r="B34" s="1291"/>
      <c r="C34" s="1080">
        <v>45048</v>
      </c>
      <c r="D34" s="657" t="str">
        <f t="shared" si="0"/>
        <v>Út</v>
      </c>
      <c r="E34" s="724">
        <f t="shared" si="1"/>
        <v>0</v>
      </c>
      <c r="F34" s="1079">
        <f t="shared" si="2"/>
        <v>0</v>
      </c>
      <c r="G34" s="724"/>
      <c r="H34" s="724"/>
      <c r="I34" s="724"/>
      <c r="J34" s="654"/>
      <c r="K34" s="657"/>
      <c r="L34" s="654"/>
      <c r="M34" s="657"/>
      <c r="N34" s="654"/>
      <c r="O34" s="657"/>
      <c r="P34" s="714"/>
      <c r="Q34" s="654"/>
      <c r="R34" s="1026"/>
      <c r="S34" s="718"/>
      <c r="T34" s="718"/>
      <c r="U34" s="718"/>
      <c r="V34" s="718"/>
      <c r="W34" s="718"/>
      <c r="X34" s="642">
        <f>WEEKDAY(C34,2)</f>
        <v>2</v>
      </c>
    </row>
    <row r="35" spans="1:24" x14ac:dyDescent="0.25">
      <c r="A35" s="1290"/>
      <c r="B35" s="1291"/>
      <c r="C35" s="1080">
        <v>45049</v>
      </c>
      <c r="D35" s="657" t="str">
        <f t="shared" si="0"/>
        <v>St</v>
      </c>
      <c r="E35" s="724">
        <f t="shared" si="1"/>
        <v>0</v>
      </c>
      <c r="F35" s="1079">
        <f t="shared" si="2"/>
        <v>0</v>
      </c>
      <c r="G35" s="724"/>
      <c r="H35" s="724"/>
      <c r="I35" s="724"/>
      <c r="J35" s="654"/>
      <c r="K35" s="657"/>
      <c r="L35" s="654"/>
      <c r="M35" s="657"/>
      <c r="N35" s="654"/>
      <c r="O35" s="657"/>
      <c r="P35" s="714"/>
      <c r="Q35" s="654"/>
      <c r="R35" s="1026"/>
      <c r="S35" s="718"/>
      <c r="T35" s="718"/>
      <c r="U35" s="718"/>
      <c r="V35" s="718"/>
      <c r="W35" s="718"/>
      <c r="X35" s="642">
        <f t="shared" ref="X35:X36" si="5">WEEKDAY(C35,2)</f>
        <v>3</v>
      </c>
    </row>
    <row r="36" spans="1:24" ht="15.75" thickBot="1" x14ac:dyDescent="0.3">
      <c r="A36" s="1290"/>
      <c r="B36" s="1291"/>
      <c r="C36" s="1080">
        <v>45050</v>
      </c>
      <c r="D36" s="658" t="str">
        <f t="shared" si="0"/>
        <v>Čt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718"/>
      <c r="T36" s="718"/>
      <c r="U36" s="718"/>
      <c r="V36" s="718"/>
      <c r="W36" s="718"/>
      <c r="X36" s="642">
        <f t="shared" si="5"/>
        <v>4</v>
      </c>
    </row>
    <row r="37" spans="1:24" x14ac:dyDescent="0.25">
      <c r="C37" s="610"/>
      <c r="D37" s="610"/>
      <c r="E37" s="610"/>
      <c r="F37" s="610"/>
      <c r="G37" s="610"/>
      <c r="H37" s="610"/>
      <c r="I37" s="610"/>
      <c r="J37" s="610"/>
      <c r="K37" s="610"/>
      <c r="L37" s="610"/>
      <c r="M37" s="610"/>
      <c r="N37" s="610"/>
      <c r="O37" s="610"/>
      <c r="P37" s="610"/>
      <c r="Q37" s="610"/>
      <c r="R37" s="610"/>
      <c r="S37" s="610"/>
      <c r="T37" s="610"/>
      <c r="U37" s="610"/>
      <c r="V37" s="610"/>
      <c r="W37" s="610"/>
    </row>
    <row r="39" spans="1:24" x14ac:dyDescent="0.25">
      <c r="G39" s="731"/>
      <c r="H39" s="731"/>
      <c r="Q39" s="731"/>
    </row>
    <row r="40" spans="1:24" x14ac:dyDescent="0.25">
      <c r="E40" s="733"/>
      <c r="G40" s="732"/>
      <c r="H40" s="732"/>
    </row>
    <row r="41" spans="1:24" x14ac:dyDescent="0.25">
      <c r="Q41" s="732">
        <f>SUM(E3:E32)</f>
        <v>1</v>
      </c>
      <c r="R41" t="s">
        <v>315</v>
      </c>
    </row>
    <row r="42" spans="1:24" x14ac:dyDescent="0.25">
      <c r="Q42" s="732">
        <v>0</v>
      </c>
      <c r="R42" t="s">
        <v>316</v>
      </c>
    </row>
    <row r="46" spans="1:24" x14ac:dyDescent="0.25">
      <c r="E46" s="731"/>
    </row>
    <row r="51" spans="17:17" x14ac:dyDescent="0.25">
      <c r="Q51" s="731">
        <f>TIME(0,30,0)</f>
        <v>2.0833333333333332E-2</v>
      </c>
    </row>
    <row r="52" spans="17:17" x14ac:dyDescent="0.25">
      <c r="Q52" s="731">
        <f>TIME(1,0,0)</f>
        <v>4.1666666666666664E-2</v>
      </c>
    </row>
  </sheetData>
  <mergeCells count="12">
    <mergeCell ref="A3:A4"/>
    <mergeCell ref="B3:B4"/>
    <mergeCell ref="A5:A11"/>
    <mergeCell ref="B5:B11"/>
    <mergeCell ref="A12:A18"/>
    <mergeCell ref="B12:B18"/>
    <mergeCell ref="A19:A25"/>
    <mergeCell ref="B19:B25"/>
    <mergeCell ref="A26:A33"/>
    <mergeCell ref="B26:B33"/>
    <mergeCell ref="A34:A36"/>
    <mergeCell ref="B34:B36"/>
  </mergeCells>
  <pageMargins left="0.7" right="0.7" top="0.75" bottom="0.75" header="0.3" footer="0.3"/>
  <tableParts count="1">
    <tablePart r:id="rId1"/>
  </tableParts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3676C-E49C-3A45-AF07-5A6A78ADBD03}">
  <dimension ref="A1:X52"/>
  <sheetViews>
    <sheetView topLeftCell="B1" zoomScaleNormal="60" zoomScaleSheetLayoutView="100" workbookViewId="0">
      <selection activeCell="V3" sqref="V3"/>
    </sheetView>
  </sheetViews>
  <sheetFormatPr defaultColWidth="8.5703125" defaultRowHeight="15" x14ac:dyDescent="0.25"/>
  <cols>
    <col min="1" max="1" width="8.5703125" bestFit="1" customWidth="1"/>
    <col min="2" max="2" width="9.140625" customWidth="1"/>
    <col min="3" max="3" width="11" bestFit="1" customWidth="1"/>
    <col min="4" max="4" width="7.42578125" bestFit="1" customWidth="1"/>
    <col min="5" max="5" width="12.8554687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8.7109375" bestFit="1" customWidth="1"/>
    <col min="21" max="21" width="13" bestFit="1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4" ht="21" x14ac:dyDescent="0.25">
      <c r="A1" s="1196"/>
      <c r="B1" s="1196"/>
    </row>
    <row r="2" spans="1:24" ht="15.75" thickBot="1" x14ac:dyDescent="0.3">
      <c r="A2" s="1193"/>
      <c r="B2" s="1193"/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11</v>
      </c>
      <c r="U2" s="650" t="s">
        <v>12</v>
      </c>
      <c r="V2" s="650" t="s">
        <v>13</v>
      </c>
      <c r="W2" s="650" t="s">
        <v>14</v>
      </c>
      <c r="X2" s="642"/>
    </row>
    <row r="3" spans="1:24" ht="15.75" thickBot="1" x14ac:dyDescent="0.3">
      <c r="A3" s="1289"/>
      <c r="B3" s="1292"/>
      <c r="C3" s="1080">
        <v>45017</v>
      </c>
      <c r="D3" s="656" t="str">
        <f t="shared" ref="D3:D36" si="0">CHOOSE(WEEKDAY(X3),"Po","Út","St","Čt","Pá","So","Ne")</f>
        <v>So</v>
      </c>
      <c r="E3" s="724">
        <f t="shared" ref="E3:E36" si="1">I3-G3-H3</f>
        <v>0</v>
      </c>
      <c r="F3" s="1079">
        <f t="shared" ref="F3:F36" si="2">(P3*E3)*24</f>
        <v>0</v>
      </c>
      <c r="G3" s="724"/>
      <c r="H3" s="724"/>
      <c r="I3" s="724"/>
      <c r="J3" s="654"/>
      <c r="K3" s="657"/>
      <c r="L3" s="654"/>
      <c r="M3" s="656"/>
      <c r="N3" s="654"/>
      <c r="O3" s="657"/>
      <c r="P3" s="713"/>
      <c r="Q3" s="1081">
        <f>(Q5+Q7)</f>
        <v>24</v>
      </c>
      <c r="R3" s="656">
        <f t="shared" ref="R3" si="3">R5+R7</f>
        <v>0</v>
      </c>
      <c r="S3" s="1094">
        <f>'03hod24'!Q6</f>
        <v>0</v>
      </c>
      <c r="T3" s="644"/>
      <c r="U3" s="1092" t="str">
        <f>'04hod23'!U6</f>
        <v xml:space="preserve">Výplata za Duben </v>
      </c>
      <c r="V3" s="1093" t="str">
        <f>'04hod23'!V6</f>
        <v>xx.05.2023</v>
      </c>
      <c r="W3" s="722">
        <f>V8*20</f>
        <v>0</v>
      </c>
      <c r="X3" s="642">
        <f t="shared" ref="X3:X33" si="4">WEEKDAY(C3,2)</f>
        <v>6</v>
      </c>
    </row>
    <row r="4" spans="1:24" x14ac:dyDescent="0.25">
      <c r="A4" s="1289"/>
      <c r="B4" s="1292"/>
      <c r="C4" s="1080">
        <v>45018</v>
      </c>
      <c r="D4" s="657" t="str">
        <f t="shared" si="0"/>
        <v>Ne</v>
      </c>
      <c r="E4" s="724">
        <f t="shared" si="1"/>
        <v>0</v>
      </c>
      <c r="F4" s="1079">
        <f t="shared" si="2"/>
        <v>0</v>
      </c>
      <c r="G4" s="724"/>
      <c r="H4" s="724"/>
      <c r="I4" s="724"/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 t="s">
        <v>48</v>
      </c>
      <c r="U4" s="611" t="s">
        <v>48</v>
      </c>
      <c r="V4" s="874"/>
      <c r="W4" s="718"/>
      <c r="X4" s="642">
        <f t="shared" si="4"/>
        <v>7</v>
      </c>
    </row>
    <row r="5" spans="1:24" x14ac:dyDescent="0.25">
      <c r="A5" s="1290"/>
      <c r="B5" s="1291"/>
      <c r="C5" s="1080">
        <v>45019</v>
      </c>
      <c r="D5" s="657" t="str">
        <f t="shared" si="0"/>
        <v>Po</v>
      </c>
      <c r="E5" s="724">
        <f t="shared" si="1"/>
        <v>0</v>
      </c>
      <c r="F5" s="1079">
        <f t="shared" si="2"/>
        <v>0</v>
      </c>
      <c r="G5" s="724"/>
      <c r="H5" s="724"/>
      <c r="I5" s="724"/>
      <c r="J5" s="654"/>
      <c r="K5" s="657"/>
      <c r="L5" s="654"/>
      <c r="M5" s="657"/>
      <c r="N5" s="654"/>
      <c r="O5" s="657"/>
      <c r="P5" s="714"/>
      <c r="Q5" s="1082">
        <f>Q41*24</f>
        <v>24</v>
      </c>
      <c r="R5" s="657">
        <v>0</v>
      </c>
      <c r="S5" s="738">
        <v>0</v>
      </c>
      <c r="T5" s="611"/>
      <c r="U5" s="611" t="s">
        <v>158</v>
      </c>
      <c r="V5" s="646"/>
      <c r="W5" s="718"/>
      <c r="X5" s="642">
        <f t="shared" si="4"/>
        <v>1</v>
      </c>
    </row>
    <row r="6" spans="1:24" x14ac:dyDescent="0.25">
      <c r="A6" s="1290"/>
      <c r="B6" s="1291"/>
      <c r="C6" s="1080">
        <v>45020</v>
      </c>
      <c r="D6" s="657" t="str">
        <f t="shared" si="0"/>
        <v>Út</v>
      </c>
      <c r="E6" s="724">
        <f t="shared" si="1"/>
        <v>0</v>
      </c>
      <c r="F6" s="1079">
        <f t="shared" si="2"/>
        <v>0</v>
      </c>
      <c r="G6" s="724"/>
      <c r="H6" s="724"/>
      <c r="I6" s="724"/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/>
      <c r="U6" s="611" t="s">
        <v>339</v>
      </c>
      <c r="V6" s="646" t="s">
        <v>651</v>
      </c>
      <c r="W6" s="718"/>
      <c r="X6" s="642">
        <f t="shared" si="4"/>
        <v>2</v>
      </c>
    </row>
    <row r="7" spans="1:24" ht="15.75" thickBot="1" x14ac:dyDescent="0.3">
      <c r="A7" s="1290"/>
      <c r="B7" s="1291"/>
      <c r="C7" s="1080">
        <v>45021</v>
      </c>
      <c r="D7" s="657" t="str">
        <f t="shared" si="0"/>
        <v>St</v>
      </c>
      <c r="E7" s="724">
        <f t="shared" si="1"/>
        <v>0</v>
      </c>
      <c r="F7" s="1079">
        <f t="shared" si="2"/>
        <v>0</v>
      </c>
      <c r="G7" s="724"/>
      <c r="H7" s="724"/>
      <c r="I7" s="724"/>
      <c r="J7" s="654"/>
      <c r="K7" s="657"/>
      <c r="L7" s="654"/>
      <c r="M7" s="657"/>
      <c r="N7" s="654"/>
      <c r="O7" s="657"/>
      <c r="P7" s="714"/>
      <c r="Q7" s="1082">
        <f>Q42*24</f>
        <v>0</v>
      </c>
      <c r="R7" s="657">
        <v>0</v>
      </c>
      <c r="S7" s="712" t="s">
        <v>134</v>
      </c>
      <c r="T7" s="647"/>
      <c r="U7" s="647" t="s">
        <v>48</v>
      </c>
      <c r="V7" s="648"/>
      <c r="W7" s="718"/>
      <c r="X7" s="642">
        <f t="shared" si="4"/>
        <v>3</v>
      </c>
    </row>
    <row r="8" spans="1:24" x14ac:dyDescent="0.25">
      <c r="A8" s="1290"/>
      <c r="B8" s="1291"/>
      <c r="C8" s="1080">
        <v>45022</v>
      </c>
      <c r="D8" s="657" t="str">
        <f t="shared" si="0"/>
        <v>Čt</v>
      </c>
      <c r="E8" s="724">
        <f t="shared" si="1"/>
        <v>0</v>
      </c>
      <c r="F8" s="1079">
        <f t="shared" si="2"/>
        <v>0</v>
      </c>
      <c r="G8" s="724"/>
      <c r="H8" s="724"/>
      <c r="I8" s="724"/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0</v>
      </c>
      <c r="T8" s="718"/>
      <c r="U8" s="718"/>
      <c r="V8" s="718"/>
      <c r="W8" s="718"/>
      <c r="X8" s="642">
        <f t="shared" si="4"/>
        <v>4</v>
      </c>
    </row>
    <row r="9" spans="1:24" x14ac:dyDescent="0.25">
      <c r="A9" s="1290"/>
      <c r="B9" s="1291"/>
      <c r="C9" s="1080">
        <v>45023</v>
      </c>
      <c r="D9" s="657" t="str">
        <f t="shared" si="0"/>
        <v>Pá</v>
      </c>
      <c r="E9" s="724">
        <f t="shared" si="1"/>
        <v>0</v>
      </c>
      <c r="F9" s="1079">
        <f t="shared" si="2"/>
        <v>0</v>
      </c>
      <c r="G9" s="724"/>
      <c r="H9" s="724"/>
      <c r="I9" s="724"/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718"/>
      <c r="U9" s="718"/>
      <c r="V9" s="718"/>
      <c r="W9" s="718"/>
      <c r="X9" s="642">
        <f t="shared" si="4"/>
        <v>5</v>
      </c>
    </row>
    <row r="10" spans="1:24" x14ac:dyDescent="0.25">
      <c r="A10" s="1290"/>
      <c r="B10" s="1291"/>
      <c r="C10" s="1080">
        <v>45024</v>
      </c>
      <c r="D10" s="657" t="str">
        <f t="shared" si="0"/>
        <v>So</v>
      </c>
      <c r="E10" s="724">
        <f t="shared" si="1"/>
        <v>0</v>
      </c>
      <c r="F10" s="1079">
        <f t="shared" si="2"/>
        <v>0</v>
      </c>
      <c r="G10" s="724"/>
      <c r="H10" s="724"/>
      <c r="I10" s="724"/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0</v>
      </c>
      <c r="T10" s="718"/>
      <c r="U10" s="718"/>
      <c r="V10" s="718"/>
      <c r="W10" s="718"/>
      <c r="X10" s="642">
        <f t="shared" si="4"/>
        <v>6</v>
      </c>
    </row>
    <row r="11" spans="1:24" x14ac:dyDescent="0.25">
      <c r="A11" s="1290"/>
      <c r="B11" s="1291"/>
      <c r="C11" s="1080">
        <v>45025</v>
      </c>
      <c r="D11" s="657" t="str">
        <f t="shared" si="0"/>
        <v>Ne</v>
      </c>
      <c r="E11" s="724">
        <f t="shared" si="1"/>
        <v>0</v>
      </c>
      <c r="F11" s="1079">
        <f t="shared" si="2"/>
        <v>0</v>
      </c>
      <c r="G11" s="724"/>
      <c r="H11" s="724"/>
      <c r="I11" s="724"/>
      <c r="J11" s="654"/>
      <c r="K11" s="657"/>
      <c r="L11" s="654"/>
      <c r="M11" s="657"/>
      <c r="N11" s="654"/>
      <c r="O11" s="657"/>
      <c r="P11" s="714"/>
      <c r="Q11" s="1083">
        <f>(Q3*380)+W3</f>
        <v>9120</v>
      </c>
      <c r="R11" s="1088">
        <f>SUM(R3*380)</f>
        <v>0</v>
      </c>
      <c r="S11" s="719"/>
      <c r="T11" s="718"/>
      <c r="U11" s="718"/>
      <c r="V11" s="718"/>
      <c r="W11" s="718"/>
      <c r="X11" s="642">
        <f t="shared" si="4"/>
        <v>7</v>
      </c>
    </row>
    <row r="12" spans="1:24" x14ac:dyDescent="0.25">
      <c r="A12" s="1289"/>
      <c r="B12" s="1292"/>
      <c r="C12" s="1080">
        <v>45026</v>
      </c>
      <c r="D12" s="657" t="str">
        <f t="shared" si="0"/>
        <v>Po</v>
      </c>
      <c r="E12" s="724">
        <f t="shared" si="1"/>
        <v>0</v>
      </c>
      <c r="F12" s="1079">
        <f t="shared" si="2"/>
        <v>0</v>
      </c>
      <c r="G12" s="724"/>
      <c r="H12" s="724"/>
      <c r="I12" s="724"/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718"/>
      <c r="T12" s="718"/>
      <c r="U12" s="718"/>
      <c r="V12" s="718"/>
      <c r="W12" s="718"/>
      <c r="X12" s="642">
        <f t="shared" si="4"/>
        <v>1</v>
      </c>
    </row>
    <row r="13" spans="1:24" x14ac:dyDescent="0.25">
      <c r="A13" s="1289"/>
      <c r="B13" s="1292"/>
      <c r="C13" s="1080">
        <v>45027</v>
      </c>
      <c r="D13" s="657" t="str">
        <f t="shared" si="0"/>
        <v>Út</v>
      </c>
      <c r="E13" s="724">
        <f>I13-G13-H13</f>
        <v>0</v>
      </c>
      <c r="F13" s="1079">
        <f t="shared" si="2"/>
        <v>0</v>
      </c>
      <c r="G13" s="724"/>
      <c r="H13" s="724"/>
      <c r="I13" s="724"/>
      <c r="J13" s="654"/>
      <c r="K13" s="657"/>
      <c r="L13" s="654"/>
      <c r="M13" s="657"/>
      <c r="N13" s="654"/>
      <c r="O13" s="657"/>
      <c r="P13" s="714"/>
      <c r="Q13" s="1083">
        <f>(Q11+Q21+Q19-Q23)-Q15-R25</f>
        <v>1417.3436999999985</v>
      </c>
      <c r="R13" s="1088">
        <f>(R11+R19+R21-R23)-R15-R25</f>
        <v>0</v>
      </c>
      <c r="S13" s="718"/>
      <c r="T13" s="718"/>
      <c r="U13" s="718"/>
      <c r="V13" s="718"/>
      <c r="W13" s="718"/>
      <c r="X13" s="642">
        <f t="shared" si="4"/>
        <v>2</v>
      </c>
    </row>
    <row r="14" spans="1:24" x14ac:dyDescent="0.25">
      <c r="A14" s="1289"/>
      <c r="B14" s="1292"/>
      <c r="C14" s="1080">
        <v>45028</v>
      </c>
      <c r="D14" s="657" t="str">
        <f t="shared" si="0"/>
        <v>St</v>
      </c>
      <c r="E14" s="724">
        <f t="shared" si="1"/>
        <v>0</v>
      </c>
      <c r="F14" s="1079">
        <f t="shared" si="2"/>
        <v>0</v>
      </c>
      <c r="G14" s="724"/>
      <c r="H14" s="724"/>
      <c r="I14" s="724"/>
      <c r="J14" s="654"/>
      <c r="K14" s="657"/>
      <c r="L14" s="654"/>
      <c r="M14" s="657"/>
      <c r="N14" s="654"/>
      <c r="O14" s="657"/>
      <c r="P14" s="714"/>
      <c r="Q14" s="654" t="s">
        <v>26</v>
      </c>
      <c r="R14" s="1088" t="s">
        <v>26</v>
      </c>
      <c r="S14" s="718"/>
      <c r="T14" s="718"/>
      <c r="U14" s="718"/>
      <c r="V14" s="718"/>
      <c r="W14" s="718"/>
      <c r="X14" s="642">
        <f t="shared" si="4"/>
        <v>3</v>
      </c>
    </row>
    <row r="15" spans="1:24" x14ac:dyDescent="0.25">
      <c r="A15" s="1289"/>
      <c r="B15" s="1292"/>
      <c r="C15" s="1080">
        <v>45029</v>
      </c>
      <c r="D15" s="657" t="str">
        <f t="shared" si="0"/>
        <v>Čt</v>
      </c>
      <c r="E15" s="724">
        <f t="shared" si="1"/>
        <v>0</v>
      </c>
      <c r="F15" s="1079">
        <f t="shared" si="2"/>
        <v>0</v>
      </c>
      <c r="G15" s="724"/>
      <c r="H15" s="724"/>
      <c r="I15" s="724"/>
      <c r="J15" s="654"/>
      <c r="K15" s="657"/>
      <c r="L15" s="654"/>
      <c r="M15" s="657"/>
      <c r="N15" s="654"/>
      <c r="O15" s="657"/>
      <c r="P15" s="714"/>
      <c r="Q15" s="1083">
        <f>(Q17*25.53)</f>
        <v>7702.6563000000015</v>
      </c>
      <c r="R15" s="1088">
        <f>(R17*25.53)</f>
        <v>0</v>
      </c>
      <c r="S15" s="923" t="s">
        <v>458</v>
      </c>
      <c r="T15" s="1004">
        <f>R15+R23-R19</f>
        <v>0</v>
      </c>
      <c r="U15" s="1007"/>
      <c r="V15" s="923" t="s">
        <v>462</v>
      </c>
      <c r="W15" s="1004">
        <f>R15+R23</f>
        <v>0</v>
      </c>
      <c r="X15" s="642">
        <f t="shared" si="4"/>
        <v>4</v>
      </c>
    </row>
    <row r="16" spans="1:24" x14ac:dyDescent="0.25">
      <c r="A16" s="1289"/>
      <c r="B16" s="1292"/>
      <c r="C16" s="1080">
        <v>45030</v>
      </c>
      <c r="D16" s="657" t="str">
        <f t="shared" si="0"/>
        <v>Pá</v>
      </c>
      <c r="E16" s="724">
        <f t="shared" si="1"/>
        <v>0</v>
      </c>
      <c r="F16" s="1079">
        <f t="shared" si="2"/>
        <v>0</v>
      </c>
      <c r="G16" s="724"/>
      <c r="H16" s="724"/>
      <c r="I16" s="724"/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001" t="s">
        <v>459</v>
      </c>
      <c r="T16" s="1002">
        <f>R11</f>
        <v>0</v>
      </c>
      <c r="U16" s="1008"/>
      <c r="V16" s="1001" t="s">
        <v>463</v>
      </c>
      <c r="W16" s="1002">
        <f>R11+R19+R21+Q29</f>
        <v>0</v>
      </c>
      <c r="X16" s="642">
        <f t="shared" si="4"/>
        <v>5</v>
      </c>
    </row>
    <row r="17" spans="1:24" x14ac:dyDescent="0.25">
      <c r="A17" s="1289"/>
      <c r="B17" s="1292"/>
      <c r="C17" s="1080">
        <v>45031</v>
      </c>
      <c r="D17" s="657" t="str">
        <f t="shared" si="0"/>
        <v>So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154">
        <f>'02cash'!O44</f>
        <v>301.71000000000004</v>
      </c>
      <c r="R17" s="1089">
        <v>0</v>
      </c>
      <c r="S17" s="1001"/>
      <c r="T17" s="1003">
        <f>T16-T15</f>
        <v>0</v>
      </c>
      <c r="U17" s="1008"/>
      <c r="V17" s="1001" t="s">
        <v>513</v>
      </c>
      <c r="W17" s="1002">
        <f>W16-W15</f>
        <v>0</v>
      </c>
      <c r="X17" s="642">
        <f t="shared" si="4"/>
        <v>6</v>
      </c>
    </row>
    <row r="18" spans="1:24" x14ac:dyDescent="0.25">
      <c r="A18" s="1289"/>
      <c r="B18" s="1292"/>
      <c r="C18" s="1080">
        <v>45032</v>
      </c>
      <c r="D18" s="657" t="str">
        <f t="shared" si="0"/>
        <v>Ne</v>
      </c>
      <c r="E18" s="724">
        <f t="shared" si="1"/>
        <v>0</v>
      </c>
      <c r="F18" s="1079">
        <f t="shared" si="2"/>
        <v>0</v>
      </c>
      <c r="G18" s="724"/>
      <c r="H18" s="724"/>
      <c r="I18" s="724"/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002">
        <f>T17-S6-S8</f>
        <v>0</v>
      </c>
      <c r="T18" s="1001"/>
      <c r="U18" s="1009"/>
      <c r="V18" s="1001" t="s">
        <v>514</v>
      </c>
      <c r="W18" s="1002">
        <f>W17-S6-S8</f>
        <v>0</v>
      </c>
      <c r="X18" s="642">
        <f t="shared" si="4"/>
        <v>7</v>
      </c>
    </row>
    <row r="19" spans="1:24" x14ac:dyDescent="0.25">
      <c r="A19" s="1290"/>
      <c r="B19" s="1291"/>
      <c r="C19" s="1080">
        <v>45033</v>
      </c>
      <c r="D19" s="657" t="str">
        <f t="shared" si="0"/>
        <v>Po</v>
      </c>
      <c r="E19" s="724">
        <f t="shared" si="1"/>
        <v>0</v>
      </c>
      <c r="F19" s="1079">
        <f t="shared" si="2"/>
        <v>0</v>
      </c>
      <c r="G19" s="724"/>
      <c r="H19" s="724"/>
      <c r="I19" s="724"/>
      <c r="J19" s="654"/>
      <c r="K19" s="657"/>
      <c r="L19" s="654"/>
      <c r="M19" s="657"/>
      <c r="N19" s="654"/>
      <c r="O19" s="657"/>
      <c r="P19" s="714"/>
      <c r="Q19" s="1083"/>
      <c r="R19" s="1088"/>
      <c r="S19" s="1001"/>
      <c r="T19" s="1001"/>
      <c r="U19" s="1008"/>
      <c r="V19" s="1001"/>
      <c r="W19" s="1001"/>
      <c r="X19" s="642">
        <f t="shared" si="4"/>
        <v>1</v>
      </c>
    </row>
    <row r="20" spans="1:24" x14ac:dyDescent="0.25">
      <c r="A20" s="1290"/>
      <c r="B20" s="1291"/>
      <c r="C20" s="1080">
        <v>45034</v>
      </c>
      <c r="D20" s="657" t="str">
        <f t="shared" si="0"/>
        <v>Út</v>
      </c>
      <c r="E20" s="724">
        <f t="shared" si="1"/>
        <v>0</v>
      </c>
      <c r="F20" s="1079">
        <f t="shared" si="2"/>
        <v>0</v>
      </c>
      <c r="G20" s="724"/>
      <c r="H20" s="724"/>
      <c r="I20" s="724"/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001"/>
      <c r="T20" s="1001"/>
      <c r="U20" s="1008"/>
      <c r="V20" s="1001"/>
      <c r="W20" s="1001"/>
      <c r="X20" s="642">
        <f t="shared" si="4"/>
        <v>2</v>
      </c>
    </row>
    <row r="21" spans="1:24" x14ac:dyDescent="0.25">
      <c r="A21" s="1290"/>
      <c r="B21" s="1291"/>
      <c r="C21" s="1080">
        <v>45035</v>
      </c>
      <c r="D21" s="657" t="str">
        <f t="shared" si="0"/>
        <v>St</v>
      </c>
      <c r="E21" s="724">
        <f t="shared" si="1"/>
        <v>0.35416666666666663</v>
      </c>
      <c r="F21" s="1079">
        <f t="shared" si="2"/>
        <v>0</v>
      </c>
      <c r="G21" s="724">
        <v>0.29166666666666669</v>
      </c>
      <c r="H21" s="724">
        <f>Q52</f>
        <v>4.1666666666666664E-2</v>
      </c>
      <c r="I21" s="724">
        <v>0.6875</v>
      </c>
      <c r="J21" s="654"/>
      <c r="K21" s="657"/>
      <c r="L21" s="654"/>
      <c r="M21" s="657"/>
      <c r="N21" s="654"/>
      <c r="O21" s="657"/>
      <c r="P21" s="714"/>
      <c r="Q21" s="1083">
        <v>0</v>
      </c>
      <c r="R21" s="1088">
        <v>0</v>
      </c>
      <c r="S21" s="1001"/>
      <c r="T21" s="1001"/>
      <c r="U21" s="1008"/>
      <c r="V21" s="1001"/>
      <c r="W21" s="1001"/>
      <c r="X21" s="642">
        <f t="shared" si="4"/>
        <v>3</v>
      </c>
    </row>
    <row r="22" spans="1:24" x14ac:dyDescent="0.25">
      <c r="A22" s="1290"/>
      <c r="B22" s="1291"/>
      <c r="C22" s="1080">
        <v>45036</v>
      </c>
      <c r="D22" s="657" t="str">
        <f t="shared" si="0"/>
        <v>Čt</v>
      </c>
      <c r="E22" s="724">
        <f t="shared" si="1"/>
        <v>0.33333333333333337</v>
      </c>
      <c r="F22" s="1079">
        <f t="shared" si="2"/>
        <v>0</v>
      </c>
      <c r="G22" s="724">
        <v>0.33333333333333331</v>
      </c>
      <c r="H22" s="724">
        <f>Q52</f>
        <v>4.1666666666666664E-2</v>
      </c>
      <c r="I22" s="724">
        <v>0.70833333333333337</v>
      </c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001"/>
      <c r="T22" s="1001"/>
      <c r="U22" s="1008"/>
      <c r="V22" s="1001"/>
      <c r="W22" s="1001"/>
      <c r="X22" s="642">
        <f t="shared" si="4"/>
        <v>4</v>
      </c>
    </row>
    <row r="23" spans="1:24" x14ac:dyDescent="0.25">
      <c r="A23" s="1290"/>
      <c r="B23" s="1291"/>
      <c r="C23" s="1080">
        <v>45037</v>
      </c>
      <c r="D23" s="657" t="str">
        <f t="shared" si="0"/>
        <v>Pá</v>
      </c>
      <c r="E23" s="724">
        <f t="shared" si="1"/>
        <v>0.3125</v>
      </c>
      <c r="F23" s="1079">
        <f t="shared" si="2"/>
        <v>0</v>
      </c>
      <c r="G23" s="724">
        <v>0.35416666666666669</v>
      </c>
      <c r="H23" s="724">
        <f>Q52</f>
        <v>4.1666666666666664E-2</v>
      </c>
      <c r="I23" s="724">
        <v>0.70833333333333337</v>
      </c>
      <c r="J23" s="654"/>
      <c r="K23" s="657"/>
      <c r="L23" s="654"/>
      <c r="M23" s="657"/>
      <c r="N23" s="654"/>
      <c r="O23" s="657"/>
      <c r="P23" s="714"/>
      <c r="Q23" s="1083">
        <v>0</v>
      </c>
      <c r="R23" s="1088">
        <v>0</v>
      </c>
      <c r="S23" s="1001"/>
      <c r="T23" s="1017"/>
      <c r="U23" s="718"/>
      <c r="V23" s="1001"/>
      <c r="W23" s="1001"/>
      <c r="X23" s="642">
        <f t="shared" si="4"/>
        <v>5</v>
      </c>
    </row>
    <row r="24" spans="1:24" x14ac:dyDescent="0.25">
      <c r="A24" s="1290"/>
      <c r="B24" s="1291"/>
      <c r="C24" s="1080">
        <v>45038</v>
      </c>
      <c r="D24" s="657" t="str">
        <f t="shared" si="0"/>
        <v>So</v>
      </c>
      <c r="E24" s="724">
        <f t="shared" si="1"/>
        <v>0</v>
      </c>
      <c r="F24" s="1079">
        <f t="shared" si="2"/>
        <v>0</v>
      </c>
      <c r="G24" s="724"/>
      <c r="H24" s="724"/>
      <c r="I24" s="724"/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015">
        <f>S18-R25</f>
        <v>0</v>
      </c>
      <c r="T24" s="1018"/>
      <c r="U24" s="1015">
        <f>W18-Q27</f>
        <v>0</v>
      </c>
      <c r="V24" s="1001"/>
      <c r="W24" s="1001"/>
      <c r="X24" s="642">
        <f t="shared" si="4"/>
        <v>6</v>
      </c>
    </row>
    <row r="25" spans="1:24" x14ac:dyDescent="0.25">
      <c r="A25" s="1290"/>
      <c r="B25" s="1291"/>
      <c r="C25" s="1080">
        <v>45039</v>
      </c>
      <c r="D25" s="657" t="str">
        <f t="shared" si="0"/>
        <v>Ne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0</v>
      </c>
      <c r="R25" s="1088">
        <f>Q27-Q29</f>
        <v>0</v>
      </c>
      <c r="S25" s="1020"/>
      <c r="T25" s="1019"/>
      <c r="U25" s="1006"/>
      <c r="V25" s="1006"/>
      <c r="W25" s="1006"/>
      <c r="X25" s="642">
        <f t="shared" si="4"/>
        <v>7</v>
      </c>
    </row>
    <row r="26" spans="1:24" x14ac:dyDescent="0.25">
      <c r="A26" s="1289"/>
      <c r="B26" s="1292"/>
      <c r="C26" s="1080">
        <v>45040</v>
      </c>
      <c r="D26" s="657" t="str">
        <f t="shared" si="0"/>
        <v>Po</v>
      </c>
      <c r="E26" s="724">
        <f t="shared" si="1"/>
        <v>0</v>
      </c>
      <c r="F26" s="1079">
        <f t="shared" si="2"/>
        <v>0</v>
      </c>
      <c r="G26" s="724"/>
      <c r="H26" s="724"/>
      <c r="I26" s="724"/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718"/>
      <c r="T26" s="718"/>
      <c r="U26" s="718"/>
      <c r="V26" s="718"/>
      <c r="W26" s="718"/>
      <c r="X26" s="642">
        <f t="shared" si="4"/>
        <v>1</v>
      </c>
    </row>
    <row r="27" spans="1:24" x14ac:dyDescent="0.25">
      <c r="A27" s="1289"/>
      <c r="B27" s="1292"/>
      <c r="C27" s="1080">
        <v>45041</v>
      </c>
      <c r="D27" s="657" t="str">
        <f t="shared" si="0"/>
        <v>Út</v>
      </c>
      <c r="E27" s="724">
        <f t="shared" si="1"/>
        <v>0</v>
      </c>
      <c r="F27" s="1079">
        <f t="shared" si="2"/>
        <v>0</v>
      </c>
      <c r="G27" s="724"/>
      <c r="H27" s="724"/>
      <c r="I27" s="724"/>
      <c r="J27" s="654"/>
      <c r="K27" s="657"/>
      <c r="L27" s="654"/>
      <c r="M27" s="657"/>
      <c r="N27" s="654"/>
      <c r="O27" s="657"/>
      <c r="P27" s="714"/>
      <c r="Q27" s="1083">
        <v>0</v>
      </c>
      <c r="R27" s="1088"/>
      <c r="S27" s="718"/>
      <c r="T27" s="718"/>
      <c r="U27" s="718"/>
      <c r="V27" s="718"/>
      <c r="W27" s="718"/>
      <c r="X27" s="642">
        <f t="shared" si="4"/>
        <v>2</v>
      </c>
    </row>
    <row r="28" spans="1:24" x14ac:dyDescent="0.25">
      <c r="A28" s="1289"/>
      <c r="B28" s="1292"/>
      <c r="C28" s="1080">
        <v>45042</v>
      </c>
      <c r="D28" s="657" t="str">
        <f t="shared" si="0"/>
        <v>St</v>
      </c>
      <c r="E28" s="724">
        <f t="shared" si="1"/>
        <v>0</v>
      </c>
      <c r="F28" s="1079">
        <f t="shared" si="2"/>
        <v>0</v>
      </c>
      <c r="G28" s="724"/>
      <c r="H28" s="724"/>
      <c r="I28" s="724"/>
      <c r="J28" s="654"/>
      <c r="K28" s="657"/>
      <c r="L28" s="654"/>
      <c r="M28" s="657"/>
      <c r="N28" s="654"/>
      <c r="O28" s="657"/>
      <c r="P28" s="714"/>
      <c r="Q28" s="654" t="s">
        <v>373</v>
      </c>
      <c r="R28" s="1026"/>
      <c r="S28" s="718"/>
      <c r="T28" s="718"/>
      <c r="U28" s="718"/>
      <c r="V28" s="718"/>
      <c r="W28" s="718"/>
      <c r="X28" s="642">
        <f t="shared" si="4"/>
        <v>3</v>
      </c>
    </row>
    <row r="29" spans="1:24" x14ac:dyDescent="0.25">
      <c r="A29" s="1289"/>
      <c r="B29" s="1292"/>
      <c r="C29" s="1080">
        <v>45043</v>
      </c>
      <c r="D29" s="657" t="str">
        <f t="shared" si="0"/>
        <v>Čt</v>
      </c>
      <c r="E29" s="724">
        <f t="shared" si="1"/>
        <v>0</v>
      </c>
      <c r="F29" s="1079">
        <f t="shared" si="2"/>
        <v>0</v>
      </c>
      <c r="G29" s="724"/>
      <c r="H29" s="724"/>
      <c r="I29" s="724"/>
      <c r="J29" s="654"/>
      <c r="K29" s="657"/>
      <c r="L29" s="654"/>
      <c r="M29" s="657"/>
      <c r="N29" s="654"/>
      <c r="O29" s="657"/>
      <c r="P29" s="714"/>
      <c r="Q29" s="1083">
        <f>'04hod23'!Q27</f>
        <v>0</v>
      </c>
      <c r="R29" s="1026"/>
      <c r="S29" s="718"/>
      <c r="T29" s="718"/>
      <c r="U29" s="718"/>
      <c r="V29" s="718"/>
      <c r="W29" s="718"/>
      <c r="X29" s="642">
        <f t="shared" si="4"/>
        <v>4</v>
      </c>
    </row>
    <row r="30" spans="1:24" x14ac:dyDescent="0.25">
      <c r="A30" s="1289"/>
      <c r="B30" s="1292"/>
      <c r="C30" s="1080">
        <v>45044</v>
      </c>
      <c r="D30" s="657" t="str">
        <f t="shared" si="0"/>
        <v>Pá</v>
      </c>
      <c r="E30" s="724">
        <f t="shared" si="1"/>
        <v>0</v>
      </c>
      <c r="F30" s="1079">
        <f t="shared" si="2"/>
        <v>0</v>
      </c>
      <c r="G30" s="724"/>
      <c r="H30" s="724"/>
      <c r="I30" s="724"/>
      <c r="J30" s="654"/>
      <c r="K30" s="657"/>
      <c r="L30" s="654"/>
      <c r="M30" s="657"/>
      <c r="N30" s="654"/>
      <c r="O30" s="657"/>
      <c r="P30" s="714"/>
      <c r="Q30" s="1083"/>
      <c r="R30" s="1083"/>
      <c r="S30" s="718"/>
      <c r="T30" s="718"/>
      <c r="U30" s="718"/>
      <c r="V30" s="718"/>
      <c r="W30" s="718"/>
      <c r="X30" s="642">
        <f t="shared" si="4"/>
        <v>5</v>
      </c>
    </row>
    <row r="31" spans="1:24" x14ac:dyDescent="0.25">
      <c r="A31" s="1289"/>
      <c r="B31" s="1292"/>
      <c r="C31" s="1080">
        <v>45045</v>
      </c>
      <c r="D31" s="657" t="str">
        <f t="shared" si="0"/>
        <v>So</v>
      </c>
      <c r="E31" s="724">
        <f t="shared" si="1"/>
        <v>0</v>
      </c>
      <c r="F31" s="1079">
        <f t="shared" si="2"/>
        <v>0</v>
      </c>
      <c r="G31" s="724"/>
      <c r="H31" s="724"/>
      <c r="I31" s="724"/>
      <c r="J31" s="654"/>
      <c r="K31" s="657"/>
      <c r="L31" s="654"/>
      <c r="M31" s="657"/>
      <c r="N31" s="654"/>
      <c r="O31" s="657"/>
      <c r="P31" s="714"/>
      <c r="Q31" s="918"/>
      <c r="R31" s="1091"/>
      <c r="S31" s="718"/>
      <c r="T31" s="718"/>
      <c r="U31" s="718"/>
      <c r="V31" s="718"/>
      <c r="W31" s="718"/>
      <c r="X31" s="642">
        <f t="shared" si="4"/>
        <v>6</v>
      </c>
    </row>
    <row r="32" spans="1:24" x14ac:dyDescent="0.25">
      <c r="A32" s="1289"/>
      <c r="B32" s="1292"/>
      <c r="C32" s="1080">
        <v>45046</v>
      </c>
      <c r="D32" s="657" t="str">
        <f t="shared" si="0"/>
        <v>Ne</v>
      </c>
      <c r="E32" s="724">
        <f t="shared" si="1"/>
        <v>0</v>
      </c>
      <c r="F32" s="1079">
        <f t="shared" si="2"/>
        <v>0</v>
      </c>
      <c r="G32" s="724"/>
      <c r="H32" s="724"/>
      <c r="I32" s="724"/>
      <c r="J32" s="654"/>
      <c r="K32" s="657"/>
      <c r="L32" s="654"/>
      <c r="M32" s="657"/>
      <c r="N32" s="654"/>
      <c r="O32" s="657"/>
      <c r="P32" s="714"/>
      <c r="Q32" s="654"/>
      <c r="R32" s="1026"/>
      <c r="S32" s="718"/>
      <c r="T32" s="718"/>
      <c r="U32" s="718"/>
      <c r="V32" s="718"/>
      <c r="W32" s="718"/>
      <c r="X32" s="642">
        <f t="shared" si="4"/>
        <v>7</v>
      </c>
    </row>
    <row r="33" spans="1:24" x14ac:dyDescent="0.25">
      <c r="A33" s="1289"/>
      <c r="B33" s="1292"/>
      <c r="C33" s="1080">
        <v>45047</v>
      </c>
      <c r="D33" s="657" t="str">
        <f t="shared" si="0"/>
        <v>Po</v>
      </c>
      <c r="E33" s="724">
        <f t="shared" si="1"/>
        <v>0</v>
      </c>
      <c r="F33" s="1079">
        <f t="shared" si="2"/>
        <v>0</v>
      </c>
      <c r="G33" s="724"/>
      <c r="H33" s="724"/>
      <c r="I33" s="724"/>
      <c r="J33" s="654"/>
      <c r="K33" s="657"/>
      <c r="L33" s="654"/>
      <c r="M33" s="657"/>
      <c r="N33" s="654"/>
      <c r="O33" s="657"/>
      <c r="P33" s="714"/>
      <c r="Q33" s="654"/>
      <c r="R33" s="1026"/>
      <c r="S33" s="718"/>
      <c r="T33" s="718"/>
      <c r="U33" s="718"/>
      <c r="V33" s="718"/>
      <c r="W33" s="718"/>
      <c r="X33" s="642">
        <f t="shared" si="4"/>
        <v>1</v>
      </c>
    </row>
    <row r="34" spans="1:24" x14ac:dyDescent="0.25">
      <c r="A34" s="1290"/>
      <c r="B34" s="1291"/>
      <c r="C34" s="1080">
        <v>45048</v>
      </c>
      <c r="D34" s="657" t="str">
        <f t="shared" si="0"/>
        <v>Út</v>
      </c>
      <c r="E34" s="724">
        <f t="shared" si="1"/>
        <v>0</v>
      </c>
      <c r="F34" s="1079">
        <f t="shared" si="2"/>
        <v>0</v>
      </c>
      <c r="G34" s="724"/>
      <c r="H34" s="724"/>
      <c r="I34" s="724"/>
      <c r="J34" s="654"/>
      <c r="K34" s="657"/>
      <c r="L34" s="654"/>
      <c r="M34" s="657"/>
      <c r="N34" s="654"/>
      <c r="O34" s="657"/>
      <c r="P34" s="714"/>
      <c r="Q34" s="654"/>
      <c r="R34" s="1026"/>
      <c r="S34" s="718"/>
      <c r="T34" s="718"/>
      <c r="U34" s="718"/>
      <c r="V34" s="718"/>
      <c r="W34" s="718"/>
      <c r="X34" s="642">
        <f>WEEKDAY(C34,2)</f>
        <v>2</v>
      </c>
    </row>
    <row r="35" spans="1:24" x14ac:dyDescent="0.25">
      <c r="A35" s="1290"/>
      <c r="B35" s="1291"/>
      <c r="C35" s="1080">
        <v>45049</v>
      </c>
      <c r="D35" s="657" t="str">
        <f t="shared" si="0"/>
        <v>St</v>
      </c>
      <c r="E35" s="724">
        <f t="shared" si="1"/>
        <v>0</v>
      </c>
      <c r="F35" s="1079">
        <f t="shared" si="2"/>
        <v>0</v>
      </c>
      <c r="G35" s="724"/>
      <c r="H35" s="724"/>
      <c r="I35" s="724"/>
      <c r="J35" s="654"/>
      <c r="K35" s="657"/>
      <c r="L35" s="654"/>
      <c r="M35" s="657"/>
      <c r="N35" s="654"/>
      <c r="O35" s="657"/>
      <c r="P35" s="714"/>
      <c r="Q35" s="654"/>
      <c r="R35" s="1026"/>
      <c r="S35" s="718"/>
      <c r="T35" s="718"/>
      <c r="U35" s="718"/>
      <c r="V35" s="718"/>
      <c r="W35" s="718"/>
      <c r="X35" s="642">
        <f t="shared" ref="X35:X36" si="5">WEEKDAY(C35,2)</f>
        <v>3</v>
      </c>
    </row>
    <row r="36" spans="1:24" ht="15.75" thickBot="1" x14ac:dyDescent="0.3">
      <c r="A36" s="1290"/>
      <c r="B36" s="1291"/>
      <c r="C36" s="1080">
        <v>45050</v>
      </c>
      <c r="D36" s="658" t="str">
        <f t="shared" si="0"/>
        <v>Čt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718"/>
      <c r="T36" s="718"/>
      <c r="U36" s="718"/>
      <c r="V36" s="718"/>
      <c r="W36" s="718"/>
      <c r="X36" s="642">
        <f t="shared" si="5"/>
        <v>4</v>
      </c>
    </row>
    <row r="37" spans="1:24" x14ac:dyDescent="0.25">
      <c r="C37" s="610"/>
      <c r="D37" s="610"/>
      <c r="E37" s="610"/>
      <c r="F37" s="610"/>
      <c r="G37" s="610"/>
      <c r="H37" s="610"/>
      <c r="I37" s="610"/>
      <c r="J37" s="610"/>
      <c r="K37" s="610"/>
      <c r="L37" s="610"/>
      <c r="M37" s="610"/>
      <c r="N37" s="610"/>
      <c r="O37" s="610"/>
      <c r="P37" s="610"/>
      <c r="Q37" s="610"/>
      <c r="R37" s="610"/>
      <c r="S37" s="610"/>
      <c r="T37" s="610"/>
      <c r="U37" s="610"/>
      <c r="V37" s="610"/>
      <c r="W37" s="610"/>
    </row>
    <row r="39" spans="1:24" x14ac:dyDescent="0.25">
      <c r="G39" s="731"/>
      <c r="H39" s="731"/>
      <c r="Q39" s="731"/>
    </row>
    <row r="40" spans="1:24" x14ac:dyDescent="0.25">
      <c r="E40" s="733"/>
      <c r="G40" s="732"/>
      <c r="H40" s="732"/>
    </row>
    <row r="41" spans="1:24" x14ac:dyDescent="0.25">
      <c r="Q41" s="732">
        <f>SUM(E3:E32)</f>
        <v>1</v>
      </c>
      <c r="R41" t="s">
        <v>315</v>
      </c>
    </row>
    <row r="42" spans="1:24" x14ac:dyDescent="0.25">
      <c r="Q42" s="732">
        <v>0</v>
      </c>
      <c r="R42" t="s">
        <v>316</v>
      </c>
    </row>
    <row r="46" spans="1:24" x14ac:dyDescent="0.25">
      <c r="E46" s="731"/>
    </row>
    <row r="51" spans="17:17" x14ac:dyDescent="0.25">
      <c r="Q51" s="731">
        <f>TIME(0,30,0)</f>
        <v>2.0833333333333332E-2</v>
      </c>
    </row>
    <row r="52" spans="17:17" x14ac:dyDescent="0.25">
      <c r="Q52" s="731">
        <f>TIME(1,0,0)</f>
        <v>4.1666666666666664E-2</v>
      </c>
    </row>
  </sheetData>
  <mergeCells count="12">
    <mergeCell ref="A3:A4"/>
    <mergeCell ref="B3:B4"/>
    <mergeCell ref="A5:A11"/>
    <mergeCell ref="B5:B11"/>
    <mergeCell ref="A12:A18"/>
    <mergeCell ref="B12:B18"/>
    <mergeCell ref="A19:A25"/>
    <mergeCell ref="B19:B25"/>
    <mergeCell ref="A26:A33"/>
    <mergeCell ref="B26:B33"/>
    <mergeCell ref="A34:A36"/>
    <mergeCell ref="B34:B36"/>
  </mergeCells>
  <pageMargins left="0.7" right="0.7" top="0.75" bottom="0.75" header="0.3" footer="0.3"/>
  <tableParts count="1">
    <tablePart r:id="rId1"/>
  </tableParts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4E07CD-CA02-7F4D-BD20-628430F20D50}">
  <dimension ref="A1:X52"/>
  <sheetViews>
    <sheetView topLeftCell="B1" zoomScaleNormal="60" zoomScaleSheetLayoutView="100" workbookViewId="0">
      <selection activeCell="V3" sqref="V3"/>
    </sheetView>
  </sheetViews>
  <sheetFormatPr defaultColWidth="8.5703125" defaultRowHeight="15" x14ac:dyDescent="0.25"/>
  <cols>
    <col min="1" max="1" width="8.5703125" bestFit="1" customWidth="1"/>
    <col min="2" max="2" width="9.140625" customWidth="1"/>
    <col min="3" max="3" width="11" bestFit="1" customWidth="1"/>
    <col min="4" max="4" width="7.42578125" bestFit="1" customWidth="1"/>
    <col min="5" max="5" width="12.8554687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8.7109375" bestFit="1" customWidth="1"/>
    <col min="21" max="21" width="13" bestFit="1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4" ht="21" x14ac:dyDescent="0.25">
      <c r="A1" s="1196"/>
      <c r="B1" s="1196"/>
    </row>
    <row r="2" spans="1:24" ht="15.75" thickBot="1" x14ac:dyDescent="0.3">
      <c r="A2" s="1193"/>
      <c r="B2" s="1193"/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11</v>
      </c>
      <c r="U2" s="650" t="s">
        <v>12</v>
      </c>
      <c r="V2" s="650" t="s">
        <v>13</v>
      </c>
      <c r="W2" s="650" t="s">
        <v>14</v>
      </c>
      <c r="X2" s="642"/>
    </row>
    <row r="3" spans="1:24" ht="15.75" thickBot="1" x14ac:dyDescent="0.3">
      <c r="A3" s="1289"/>
      <c r="B3" s="1292"/>
      <c r="C3" s="1080">
        <v>45078</v>
      </c>
      <c r="D3" s="656" t="str">
        <f t="shared" ref="D3:D36" si="0">CHOOSE(WEEKDAY(X3),"Po","Út","St","Čt","Pá","So","Ne")</f>
        <v>Čt</v>
      </c>
      <c r="E3" s="724">
        <f t="shared" ref="E3:E36" si="1">I3-G3-H3</f>
        <v>0</v>
      </c>
      <c r="F3" s="1079">
        <f t="shared" ref="F3:F36" si="2">(P3*E3)*24</f>
        <v>0</v>
      </c>
      <c r="G3" s="724"/>
      <c r="H3" s="724"/>
      <c r="I3" s="724"/>
      <c r="J3" s="654"/>
      <c r="K3" s="657"/>
      <c r="L3" s="654"/>
      <c r="M3" s="656"/>
      <c r="N3" s="654"/>
      <c r="O3" s="657"/>
      <c r="P3" s="713"/>
      <c r="Q3" s="1081">
        <f>(Q5+Q7)</f>
        <v>50</v>
      </c>
      <c r="R3" s="656">
        <f t="shared" ref="R3" si="3">R5+R7</f>
        <v>0</v>
      </c>
      <c r="S3" s="1094">
        <f>'03hod24'!Q6</f>
        <v>0</v>
      </c>
      <c r="T3" s="644"/>
      <c r="U3" s="1092" t="str">
        <f>'05hod23'!U6</f>
        <v>Výplata za Květen</v>
      </c>
      <c r="V3" s="1093" t="str">
        <f>'05hod23'!V6</f>
        <v>xx.06.2023</v>
      </c>
      <c r="W3" s="722">
        <f>V8*20</f>
        <v>0</v>
      </c>
      <c r="X3" s="642">
        <f t="shared" ref="X3:X33" si="4">WEEKDAY(C3,2)</f>
        <v>4</v>
      </c>
    </row>
    <row r="4" spans="1:24" x14ac:dyDescent="0.25">
      <c r="A4" s="1289"/>
      <c r="B4" s="1292"/>
      <c r="C4" s="1080">
        <v>45079</v>
      </c>
      <c r="D4" s="657" t="str">
        <f t="shared" si="0"/>
        <v>Pá</v>
      </c>
      <c r="E4" s="724">
        <f t="shared" si="1"/>
        <v>0</v>
      </c>
      <c r="F4" s="1079">
        <f t="shared" si="2"/>
        <v>0</v>
      </c>
      <c r="G4" s="724"/>
      <c r="H4" s="724"/>
      <c r="I4" s="724"/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 t="s">
        <v>48</v>
      </c>
      <c r="U4" s="611" t="s">
        <v>48</v>
      </c>
      <c r="V4" s="874"/>
      <c r="W4" s="718"/>
      <c r="X4" s="642">
        <f t="shared" si="4"/>
        <v>5</v>
      </c>
    </row>
    <row r="5" spans="1:24" x14ac:dyDescent="0.25">
      <c r="A5" s="1290"/>
      <c r="B5" s="1291"/>
      <c r="C5" s="1080">
        <v>45080</v>
      </c>
      <c r="D5" s="657" t="str">
        <f t="shared" si="0"/>
        <v>So</v>
      </c>
      <c r="E5" s="724">
        <f t="shared" si="1"/>
        <v>0</v>
      </c>
      <c r="F5" s="1079">
        <f t="shared" si="2"/>
        <v>0</v>
      </c>
      <c r="G5" s="724"/>
      <c r="H5" s="724"/>
      <c r="I5" s="724"/>
      <c r="J5" s="654"/>
      <c r="K5" s="657"/>
      <c r="L5" s="654"/>
      <c r="M5" s="657"/>
      <c r="N5" s="654"/>
      <c r="O5" s="657"/>
      <c r="P5" s="714"/>
      <c r="Q5" s="1082">
        <f>Q41*24</f>
        <v>50</v>
      </c>
      <c r="R5" s="657">
        <v>0</v>
      </c>
      <c r="S5" s="738">
        <v>0</v>
      </c>
      <c r="T5" s="611"/>
      <c r="U5" s="611" t="s">
        <v>158</v>
      </c>
      <c r="V5" s="646"/>
      <c r="W5" s="718"/>
      <c r="X5" s="642">
        <f t="shared" si="4"/>
        <v>6</v>
      </c>
    </row>
    <row r="6" spans="1:24" x14ac:dyDescent="0.25">
      <c r="A6" s="1290"/>
      <c r="B6" s="1291"/>
      <c r="C6" s="1080">
        <v>45081</v>
      </c>
      <c r="D6" s="657" t="str">
        <f t="shared" si="0"/>
        <v>Ne</v>
      </c>
      <c r="E6" s="724">
        <f t="shared" si="1"/>
        <v>0</v>
      </c>
      <c r="F6" s="1079">
        <f t="shared" si="2"/>
        <v>0</v>
      </c>
      <c r="G6" s="724"/>
      <c r="H6" s="724"/>
      <c r="I6" s="724"/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/>
      <c r="U6" s="611" t="s">
        <v>403</v>
      </c>
      <c r="V6" s="646" t="s">
        <v>652</v>
      </c>
      <c r="W6" s="718"/>
      <c r="X6" s="642">
        <f t="shared" si="4"/>
        <v>7</v>
      </c>
    </row>
    <row r="7" spans="1:24" ht="15.75" thickBot="1" x14ac:dyDescent="0.3">
      <c r="A7" s="1290"/>
      <c r="B7" s="1291"/>
      <c r="C7" s="1080">
        <v>45082</v>
      </c>
      <c r="D7" s="657" t="str">
        <f t="shared" si="0"/>
        <v>Po</v>
      </c>
      <c r="E7" s="724">
        <f t="shared" si="1"/>
        <v>0</v>
      </c>
      <c r="F7" s="1079">
        <f t="shared" si="2"/>
        <v>0</v>
      </c>
      <c r="G7" s="724"/>
      <c r="H7" s="724"/>
      <c r="I7" s="724"/>
      <c r="J7" s="654"/>
      <c r="K7" s="657"/>
      <c r="L7" s="654"/>
      <c r="M7" s="657"/>
      <c r="N7" s="654"/>
      <c r="O7" s="657"/>
      <c r="P7" s="714"/>
      <c r="Q7" s="1082">
        <f>Q42*24</f>
        <v>0</v>
      </c>
      <c r="R7" s="657">
        <v>0</v>
      </c>
      <c r="S7" s="712" t="s">
        <v>134</v>
      </c>
      <c r="T7" s="647"/>
      <c r="U7" s="647" t="s">
        <v>48</v>
      </c>
      <c r="V7" s="648"/>
      <c r="W7" s="718"/>
      <c r="X7" s="642">
        <f t="shared" si="4"/>
        <v>1</v>
      </c>
    </row>
    <row r="8" spans="1:24" x14ac:dyDescent="0.25">
      <c r="A8" s="1290"/>
      <c r="B8" s="1291"/>
      <c r="C8" s="1080">
        <v>45083</v>
      </c>
      <c r="D8" s="657" t="str">
        <f t="shared" si="0"/>
        <v>Út</v>
      </c>
      <c r="E8" s="724">
        <f t="shared" si="1"/>
        <v>0</v>
      </c>
      <c r="F8" s="1079">
        <f t="shared" si="2"/>
        <v>0</v>
      </c>
      <c r="G8" s="724"/>
      <c r="H8" s="724"/>
      <c r="I8" s="724"/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0</v>
      </c>
      <c r="T8" s="718"/>
      <c r="U8" s="718"/>
      <c r="V8" s="718"/>
      <c r="W8" s="718"/>
      <c r="X8" s="642">
        <f t="shared" si="4"/>
        <v>2</v>
      </c>
    </row>
    <row r="9" spans="1:24" x14ac:dyDescent="0.25">
      <c r="A9" s="1290"/>
      <c r="B9" s="1291"/>
      <c r="C9" s="1080">
        <v>45084</v>
      </c>
      <c r="D9" s="657" t="str">
        <f t="shared" si="0"/>
        <v>St</v>
      </c>
      <c r="E9" s="724">
        <f t="shared" si="1"/>
        <v>0</v>
      </c>
      <c r="F9" s="1079">
        <f t="shared" si="2"/>
        <v>0</v>
      </c>
      <c r="G9" s="724"/>
      <c r="H9" s="724"/>
      <c r="I9" s="724"/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718"/>
      <c r="U9" s="718"/>
      <c r="V9" s="718"/>
      <c r="W9" s="718"/>
      <c r="X9" s="642">
        <f t="shared" si="4"/>
        <v>3</v>
      </c>
    </row>
    <row r="10" spans="1:24" x14ac:dyDescent="0.25">
      <c r="A10" s="1290"/>
      <c r="B10" s="1291"/>
      <c r="C10" s="1080">
        <v>45085</v>
      </c>
      <c r="D10" s="657" t="str">
        <f t="shared" si="0"/>
        <v>Čt</v>
      </c>
      <c r="E10" s="724">
        <f t="shared" si="1"/>
        <v>0</v>
      </c>
      <c r="F10" s="1079">
        <f t="shared" si="2"/>
        <v>0</v>
      </c>
      <c r="G10" s="724"/>
      <c r="H10" s="724"/>
      <c r="I10" s="724"/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0</v>
      </c>
      <c r="T10" s="718"/>
      <c r="U10" s="718"/>
      <c r="V10" s="718"/>
      <c r="W10" s="718"/>
      <c r="X10" s="642">
        <f t="shared" si="4"/>
        <v>4</v>
      </c>
    </row>
    <row r="11" spans="1:24" x14ac:dyDescent="0.25">
      <c r="A11" s="1290"/>
      <c r="B11" s="1291"/>
      <c r="C11" s="1080">
        <v>45086</v>
      </c>
      <c r="D11" s="657" t="str">
        <f t="shared" si="0"/>
        <v>Pá</v>
      </c>
      <c r="E11" s="724">
        <f t="shared" si="1"/>
        <v>0</v>
      </c>
      <c r="F11" s="1079">
        <f t="shared" si="2"/>
        <v>0</v>
      </c>
      <c r="G11" s="724"/>
      <c r="H11" s="724"/>
      <c r="I11" s="724"/>
      <c r="J11" s="654"/>
      <c r="K11" s="657"/>
      <c r="L11" s="654"/>
      <c r="M11" s="657"/>
      <c r="N11" s="654"/>
      <c r="O11" s="657"/>
      <c r="P11" s="714"/>
      <c r="Q11" s="1083">
        <f>(Q3*400)+W3</f>
        <v>20000</v>
      </c>
      <c r="R11" s="1088">
        <f>SUM(R3*400)</f>
        <v>0</v>
      </c>
      <c r="S11" s="719"/>
      <c r="T11" s="718"/>
      <c r="U11" s="718"/>
      <c r="V11" s="718"/>
      <c r="W11" s="718"/>
      <c r="X11" s="642">
        <f t="shared" si="4"/>
        <v>5</v>
      </c>
    </row>
    <row r="12" spans="1:24" x14ac:dyDescent="0.25">
      <c r="A12" s="1289"/>
      <c r="B12" s="1292"/>
      <c r="C12" s="1080">
        <v>45087</v>
      </c>
      <c r="D12" s="657" t="str">
        <f t="shared" si="0"/>
        <v>So</v>
      </c>
      <c r="E12" s="724">
        <f t="shared" si="1"/>
        <v>0</v>
      </c>
      <c r="F12" s="1079">
        <f t="shared" si="2"/>
        <v>0</v>
      </c>
      <c r="G12" s="724"/>
      <c r="H12" s="724"/>
      <c r="I12" s="724"/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718"/>
      <c r="T12" s="718"/>
      <c r="U12" s="718"/>
      <c r="V12" s="718"/>
      <c r="W12" s="718"/>
      <c r="X12" s="642">
        <f t="shared" si="4"/>
        <v>6</v>
      </c>
    </row>
    <row r="13" spans="1:24" x14ac:dyDescent="0.25">
      <c r="A13" s="1289"/>
      <c r="B13" s="1292"/>
      <c r="C13" s="1080">
        <v>45088</v>
      </c>
      <c r="D13" s="657" t="str">
        <f t="shared" si="0"/>
        <v>Ne</v>
      </c>
      <c r="E13" s="724">
        <f>I13-G13-H13</f>
        <v>0</v>
      </c>
      <c r="F13" s="1079">
        <f t="shared" si="2"/>
        <v>0</v>
      </c>
      <c r="G13" s="724"/>
      <c r="H13" s="724"/>
      <c r="I13" s="724"/>
      <c r="J13" s="654"/>
      <c r="K13" s="657"/>
      <c r="L13" s="654"/>
      <c r="M13" s="657"/>
      <c r="N13" s="654"/>
      <c r="O13" s="657"/>
      <c r="P13" s="714"/>
      <c r="Q13" s="1083">
        <f>(Q11+Q21+Q19-Q23)-Q15-R25</f>
        <v>8503.0750999999982</v>
      </c>
      <c r="R13" s="1088">
        <f>(R11+R19+R21-R23)-R15-R25</f>
        <v>0</v>
      </c>
      <c r="S13" s="718"/>
      <c r="T13" s="718"/>
      <c r="U13" s="718"/>
      <c r="V13" s="718"/>
      <c r="W13" s="718"/>
      <c r="X13" s="642">
        <f t="shared" si="4"/>
        <v>7</v>
      </c>
    </row>
    <row r="14" spans="1:24" x14ac:dyDescent="0.25">
      <c r="A14" s="1289"/>
      <c r="B14" s="1292"/>
      <c r="C14" s="1080">
        <v>45089</v>
      </c>
      <c r="D14" s="657" t="str">
        <f t="shared" si="0"/>
        <v>Po</v>
      </c>
      <c r="E14" s="724">
        <f t="shared" si="1"/>
        <v>0</v>
      </c>
      <c r="F14" s="1079">
        <f t="shared" si="2"/>
        <v>0</v>
      </c>
      <c r="G14" s="724"/>
      <c r="H14" s="724"/>
      <c r="I14" s="724"/>
      <c r="J14" s="654"/>
      <c r="K14" s="657"/>
      <c r="L14" s="654"/>
      <c r="M14" s="657"/>
      <c r="N14" s="654"/>
      <c r="O14" s="657"/>
      <c r="P14" s="714"/>
      <c r="Q14" s="654" t="s">
        <v>26</v>
      </c>
      <c r="R14" s="1088" t="s">
        <v>26</v>
      </c>
      <c r="S14" s="718"/>
      <c r="T14" s="718"/>
      <c r="U14" s="718"/>
      <c r="V14" s="718"/>
      <c r="W14" s="718"/>
      <c r="X14" s="642">
        <f t="shared" si="4"/>
        <v>1</v>
      </c>
    </row>
    <row r="15" spans="1:24" x14ac:dyDescent="0.25">
      <c r="A15" s="1289"/>
      <c r="B15" s="1292"/>
      <c r="C15" s="1080">
        <v>45090</v>
      </c>
      <c r="D15" s="657" t="str">
        <f t="shared" si="0"/>
        <v>Út</v>
      </c>
      <c r="E15" s="724">
        <f t="shared" si="1"/>
        <v>0</v>
      </c>
      <c r="F15" s="1079">
        <f t="shared" si="2"/>
        <v>0</v>
      </c>
      <c r="G15" s="724"/>
      <c r="H15" s="724"/>
      <c r="I15" s="724"/>
      <c r="J15" s="654"/>
      <c r="K15" s="657"/>
      <c r="L15" s="654"/>
      <c r="M15" s="657"/>
      <c r="N15" s="654"/>
      <c r="O15" s="657"/>
      <c r="P15" s="714"/>
      <c r="Q15" s="1083">
        <f>(Q17*25.53)</f>
        <v>11496.924900000002</v>
      </c>
      <c r="R15" s="1088">
        <f>(R17*25.53)</f>
        <v>0</v>
      </c>
      <c r="S15" s="923" t="s">
        <v>458</v>
      </c>
      <c r="T15" s="1004">
        <f>R15+R23-R19</f>
        <v>0</v>
      </c>
      <c r="U15" s="1007"/>
      <c r="V15" s="923" t="s">
        <v>462</v>
      </c>
      <c r="W15" s="1004">
        <f>R15+R23</f>
        <v>0</v>
      </c>
      <c r="X15" s="642">
        <f t="shared" si="4"/>
        <v>2</v>
      </c>
    </row>
    <row r="16" spans="1:24" x14ac:dyDescent="0.25">
      <c r="A16" s="1289"/>
      <c r="B16" s="1292"/>
      <c r="C16" s="1080">
        <v>45091</v>
      </c>
      <c r="D16" s="657" t="str">
        <f t="shared" si="0"/>
        <v>St</v>
      </c>
      <c r="E16" s="724">
        <f t="shared" si="1"/>
        <v>0</v>
      </c>
      <c r="F16" s="1079">
        <f t="shared" si="2"/>
        <v>0</v>
      </c>
      <c r="G16" s="724"/>
      <c r="H16" s="724"/>
      <c r="I16" s="724"/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001" t="s">
        <v>459</v>
      </c>
      <c r="T16" s="1002">
        <f>R11</f>
        <v>0</v>
      </c>
      <c r="U16" s="1008"/>
      <c r="V16" s="1001" t="s">
        <v>463</v>
      </c>
      <c r="W16" s="1002">
        <f>R11+R19+R21+Q29</f>
        <v>0</v>
      </c>
      <c r="X16" s="642">
        <f t="shared" si="4"/>
        <v>3</v>
      </c>
    </row>
    <row r="17" spans="1:24" x14ac:dyDescent="0.25">
      <c r="A17" s="1289"/>
      <c r="B17" s="1292"/>
      <c r="C17" s="1080">
        <v>45092</v>
      </c>
      <c r="D17" s="657" t="str">
        <f t="shared" si="0"/>
        <v>Čt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154">
        <f>'04cash'!O44</f>
        <v>450.33000000000004</v>
      </c>
      <c r="R17" s="1089">
        <v>0</v>
      </c>
      <c r="S17" s="1001"/>
      <c r="T17" s="1003">
        <f>T16-T15</f>
        <v>0</v>
      </c>
      <c r="U17" s="1008"/>
      <c r="V17" s="1001" t="s">
        <v>513</v>
      </c>
      <c r="W17" s="1002">
        <f>W16-W15</f>
        <v>0</v>
      </c>
      <c r="X17" s="642">
        <f t="shared" si="4"/>
        <v>4</v>
      </c>
    </row>
    <row r="18" spans="1:24" x14ac:dyDescent="0.25">
      <c r="A18" s="1289"/>
      <c r="B18" s="1292"/>
      <c r="C18" s="1080">
        <v>45093</v>
      </c>
      <c r="D18" s="657" t="str">
        <f t="shared" si="0"/>
        <v>Pá</v>
      </c>
      <c r="E18" s="724">
        <f t="shared" si="1"/>
        <v>0</v>
      </c>
      <c r="F18" s="1079">
        <f t="shared" si="2"/>
        <v>0</v>
      </c>
      <c r="G18" s="724"/>
      <c r="H18" s="724"/>
      <c r="I18" s="724"/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002">
        <f>T17-S6-S8</f>
        <v>0</v>
      </c>
      <c r="T18" s="1001"/>
      <c r="U18" s="1009"/>
      <c r="V18" s="1001" t="s">
        <v>514</v>
      </c>
      <c r="W18" s="1002">
        <f>W17-S6-S8</f>
        <v>0</v>
      </c>
      <c r="X18" s="642">
        <f t="shared" si="4"/>
        <v>5</v>
      </c>
    </row>
    <row r="19" spans="1:24" x14ac:dyDescent="0.25">
      <c r="A19" s="1290"/>
      <c r="B19" s="1291"/>
      <c r="C19" s="1080">
        <v>45094</v>
      </c>
      <c r="D19" s="657" t="str">
        <f t="shared" si="0"/>
        <v>So</v>
      </c>
      <c r="E19" s="724">
        <f t="shared" si="1"/>
        <v>0</v>
      </c>
      <c r="F19" s="1079">
        <f t="shared" si="2"/>
        <v>0</v>
      </c>
      <c r="G19" s="724"/>
      <c r="H19" s="724"/>
      <c r="I19" s="724"/>
      <c r="J19" s="654"/>
      <c r="K19" s="657"/>
      <c r="L19" s="654"/>
      <c r="M19" s="657"/>
      <c r="N19" s="654"/>
      <c r="O19" s="657"/>
      <c r="P19" s="714"/>
      <c r="Q19" s="1083"/>
      <c r="R19" s="1088"/>
      <c r="S19" s="1001"/>
      <c r="T19" s="1001"/>
      <c r="U19" s="1008"/>
      <c r="V19" s="1001"/>
      <c r="W19" s="1001"/>
      <c r="X19" s="642">
        <f t="shared" si="4"/>
        <v>6</v>
      </c>
    </row>
    <row r="20" spans="1:24" x14ac:dyDescent="0.25">
      <c r="A20" s="1290"/>
      <c r="B20" s="1291"/>
      <c r="C20" s="1080">
        <v>45095</v>
      </c>
      <c r="D20" s="657" t="str">
        <f t="shared" si="0"/>
        <v>Ne</v>
      </c>
      <c r="E20" s="724">
        <f t="shared" si="1"/>
        <v>0</v>
      </c>
      <c r="F20" s="1079">
        <f t="shared" si="2"/>
        <v>0</v>
      </c>
      <c r="G20" s="724"/>
      <c r="H20" s="724"/>
      <c r="I20" s="724"/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001"/>
      <c r="T20" s="1001"/>
      <c r="U20" s="1008"/>
      <c r="V20" s="1001"/>
      <c r="W20" s="1001"/>
      <c r="X20" s="642">
        <f t="shared" si="4"/>
        <v>7</v>
      </c>
    </row>
    <row r="21" spans="1:24" x14ac:dyDescent="0.25">
      <c r="A21" s="1290"/>
      <c r="B21" s="1291"/>
      <c r="C21" s="1080">
        <v>45096</v>
      </c>
      <c r="D21" s="657" t="str">
        <f t="shared" si="0"/>
        <v>Po</v>
      </c>
      <c r="E21" s="724">
        <f t="shared" si="1"/>
        <v>0</v>
      </c>
      <c r="F21" s="1079">
        <f t="shared" si="2"/>
        <v>0</v>
      </c>
      <c r="G21" s="724"/>
      <c r="H21" s="724"/>
      <c r="I21" s="724"/>
      <c r="J21" s="654"/>
      <c r="K21" s="657"/>
      <c r="L21" s="654"/>
      <c r="M21" s="657"/>
      <c r="N21" s="654"/>
      <c r="O21" s="657"/>
      <c r="P21" s="714"/>
      <c r="Q21" s="1083">
        <v>0</v>
      </c>
      <c r="R21" s="1088">
        <v>0</v>
      </c>
      <c r="S21" s="1001"/>
      <c r="T21" s="1001"/>
      <c r="U21" s="1008"/>
      <c r="V21" s="1001"/>
      <c r="W21" s="1001"/>
      <c r="X21" s="642">
        <f t="shared" si="4"/>
        <v>1</v>
      </c>
    </row>
    <row r="22" spans="1:24" x14ac:dyDescent="0.25">
      <c r="A22" s="1290"/>
      <c r="B22" s="1291"/>
      <c r="C22" s="1080">
        <v>45097</v>
      </c>
      <c r="D22" s="657" t="str">
        <f t="shared" si="0"/>
        <v>Út</v>
      </c>
      <c r="E22" s="724">
        <f t="shared" si="1"/>
        <v>0</v>
      </c>
      <c r="F22" s="1079">
        <f t="shared" si="2"/>
        <v>0</v>
      </c>
      <c r="G22" s="724"/>
      <c r="H22" s="724"/>
      <c r="I22" s="724"/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001"/>
      <c r="T22" s="1001"/>
      <c r="U22" s="1008"/>
      <c r="V22" s="1001"/>
      <c r="W22" s="1001"/>
      <c r="X22" s="642">
        <f t="shared" si="4"/>
        <v>2</v>
      </c>
    </row>
    <row r="23" spans="1:24" x14ac:dyDescent="0.25">
      <c r="A23" s="1290"/>
      <c r="B23" s="1291"/>
      <c r="C23" s="1080">
        <v>45098</v>
      </c>
      <c r="D23" s="657" t="str">
        <f t="shared" si="0"/>
        <v>St</v>
      </c>
      <c r="E23" s="724">
        <f t="shared" si="1"/>
        <v>0</v>
      </c>
      <c r="F23" s="1079">
        <f t="shared" si="2"/>
        <v>0</v>
      </c>
      <c r="G23" s="724"/>
      <c r="H23" s="724"/>
      <c r="I23" s="724"/>
      <c r="J23" s="654"/>
      <c r="K23" s="657"/>
      <c r="L23" s="654"/>
      <c r="M23" s="657"/>
      <c r="N23" s="654"/>
      <c r="O23" s="657"/>
      <c r="P23" s="714"/>
      <c r="Q23" s="1083">
        <v>0</v>
      </c>
      <c r="R23" s="1088">
        <v>0</v>
      </c>
      <c r="S23" s="1001"/>
      <c r="T23" s="1017"/>
      <c r="U23" s="718"/>
      <c r="V23" s="1001"/>
      <c r="W23" s="1001"/>
      <c r="X23" s="642">
        <f t="shared" si="4"/>
        <v>3</v>
      </c>
    </row>
    <row r="24" spans="1:24" x14ac:dyDescent="0.25">
      <c r="A24" s="1290"/>
      <c r="B24" s="1291"/>
      <c r="C24" s="1080">
        <v>45099</v>
      </c>
      <c r="D24" s="657" t="str">
        <f t="shared" si="0"/>
        <v>Čt</v>
      </c>
      <c r="E24" s="724">
        <f t="shared" si="1"/>
        <v>0</v>
      </c>
      <c r="F24" s="1079">
        <f t="shared" si="2"/>
        <v>0</v>
      </c>
      <c r="G24" s="724"/>
      <c r="H24" s="724"/>
      <c r="I24" s="724"/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015">
        <f>S18-R25</f>
        <v>0</v>
      </c>
      <c r="T24" s="1018"/>
      <c r="U24" s="1015">
        <f>W18-Q27</f>
        <v>0</v>
      </c>
      <c r="V24" s="1001"/>
      <c r="W24" s="1001"/>
      <c r="X24" s="642">
        <f t="shared" si="4"/>
        <v>4</v>
      </c>
    </row>
    <row r="25" spans="1:24" x14ac:dyDescent="0.25">
      <c r="A25" s="1290"/>
      <c r="B25" s="1291"/>
      <c r="C25" s="1080">
        <v>45100</v>
      </c>
      <c r="D25" s="657" t="str">
        <f t="shared" si="0"/>
        <v>Pá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0</v>
      </c>
      <c r="R25" s="1088">
        <f>Q27-Q29</f>
        <v>0</v>
      </c>
      <c r="S25" s="1020"/>
      <c r="T25" s="1019"/>
      <c r="U25" s="1006"/>
      <c r="V25" s="1006"/>
      <c r="W25" s="1006"/>
      <c r="X25" s="642">
        <f t="shared" si="4"/>
        <v>5</v>
      </c>
    </row>
    <row r="26" spans="1:24" x14ac:dyDescent="0.25">
      <c r="A26" s="1289"/>
      <c r="B26" s="1292"/>
      <c r="C26" s="1080">
        <v>45101</v>
      </c>
      <c r="D26" s="657" t="str">
        <f t="shared" si="0"/>
        <v>So</v>
      </c>
      <c r="E26" s="724">
        <f t="shared" si="1"/>
        <v>0</v>
      </c>
      <c r="F26" s="1079">
        <f t="shared" si="2"/>
        <v>0</v>
      </c>
      <c r="G26" s="724"/>
      <c r="H26" s="724"/>
      <c r="I26" s="724"/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718"/>
      <c r="T26" s="718"/>
      <c r="U26" s="718"/>
      <c r="V26" s="718"/>
      <c r="W26" s="718"/>
      <c r="X26" s="642">
        <f t="shared" si="4"/>
        <v>6</v>
      </c>
    </row>
    <row r="27" spans="1:24" x14ac:dyDescent="0.25">
      <c r="A27" s="1289"/>
      <c r="B27" s="1292"/>
      <c r="C27" s="1080">
        <v>45102</v>
      </c>
      <c r="D27" s="657" t="str">
        <f t="shared" si="0"/>
        <v>Ne</v>
      </c>
      <c r="E27" s="724">
        <f t="shared" si="1"/>
        <v>0</v>
      </c>
      <c r="F27" s="1079">
        <f t="shared" si="2"/>
        <v>0</v>
      </c>
      <c r="G27" s="724"/>
      <c r="H27" s="724"/>
      <c r="I27" s="724"/>
      <c r="J27" s="654"/>
      <c r="K27" s="657"/>
      <c r="L27" s="654"/>
      <c r="M27" s="657"/>
      <c r="N27" s="654"/>
      <c r="O27" s="657"/>
      <c r="P27" s="714"/>
      <c r="Q27" s="1083">
        <v>0</v>
      </c>
      <c r="R27" s="1088"/>
      <c r="S27" s="718"/>
      <c r="T27" s="718"/>
      <c r="U27" s="718"/>
      <c r="V27" s="718"/>
      <c r="W27" s="718"/>
      <c r="X27" s="642">
        <f t="shared" si="4"/>
        <v>7</v>
      </c>
    </row>
    <row r="28" spans="1:24" x14ac:dyDescent="0.25">
      <c r="A28" s="1289"/>
      <c r="B28" s="1292"/>
      <c r="C28" s="1080">
        <v>45103</v>
      </c>
      <c r="D28" s="657" t="str">
        <f t="shared" si="0"/>
        <v>Po</v>
      </c>
      <c r="E28" s="724">
        <f t="shared" si="1"/>
        <v>0.35416666666666669</v>
      </c>
      <c r="F28" s="1079">
        <f t="shared" si="2"/>
        <v>0</v>
      </c>
      <c r="G28" s="724">
        <v>0.3125</v>
      </c>
      <c r="H28" s="724">
        <f>Q52</f>
        <v>4.1666666666666664E-2</v>
      </c>
      <c r="I28" s="724">
        <v>0.70833333333333337</v>
      </c>
      <c r="J28" s="654" t="s">
        <v>606</v>
      </c>
      <c r="K28" s="657"/>
      <c r="L28" s="654"/>
      <c r="M28" s="657"/>
      <c r="N28" s="654"/>
      <c r="O28" s="657"/>
      <c r="P28" s="714"/>
      <c r="Q28" s="654" t="s">
        <v>373</v>
      </c>
      <c r="R28" s="1026"/>
      <c r="S28" s="718"/>
      <c r="T28" s="718"/>
      <c r="U28" s="718"/>
      <c r="V28" s="718"/>
      <c r="W28" s="718"/>
      <c r="X28" s="642">
        <f t="shared" si="4"/>
        <v>1</v>
      </c>
    </row>
    <row r="29" spans="1:24" x14ac:dyDescent="0.25">
      <c r="A29" s="1289"/>
      <c r="B29" s="1292"/>
      <c r="C29" s="1080">
        <v>45104</v>
      </c>
      <c r="D29" s="657" t="str">
        <f t="shared" si="0"/>
        <v>Út</v>
      </c>
      <c r="E29" s="724">
        <f t="shared" si="1"/>
        <v>0.45833333333333326</v>
      </c>
      <c r="F29" s="1079">
        <f t="shared" si="2"/>
        <v>21.999999999999996</v>
      </c>
      <c r="G29" s="724">
        <v>0.29166666666666669</v>
      </c>
      <c r="H29" s="724">
        <f>Q52</f>
        <v>4.1666666666666664E-2</v>
      </c>
      <c r="I29" s="724">
        <v>0.79166666666666663</v>
      </c>
      <c r="J29" s="654" t="s">
        <v>606</v>
      </c>
      <c r="K29" s="657"/>
      <c r="L29" s="654"/>
      <c r="M29" s="657"/>
      <c r="N29" s="654" t="s">
        <v>15</v>
      </c>
      <c r="O29" s="657">
        <v>44</v>
      </c>
      <c r="P29" s="714">
        <v>2</v>
      </c>
      <c r="Q29" s="1095">
        <f>'05hod23'!Q27</f>
        <v>0</v>
      </c>
      <c r="R29" s="1026"/>
      <c r="S29" s="718"/>
      <c r="T29" s="718"/>
      <c r="U29" s="718"/>
      <c r="V29" s="718"/>
      <c r="W29" s="718"/>
      <c r="X29" s="642">
        <f t="shared" si="4"/>
        <v>2</v>
      </c>
    </row>
    <row r="30" spans="1:24" x14ac:dyDescent="0.25">
      <c r="A30" s="1289"/>
      <c r="B30" s="1292"/>
      <c r="C30" s="1080">
        <v>45105</v>
      </c>
      <c r="D30" s="657" t="str">
        <f t="shared" si="0"/>
        <v>St</v>
      </c>
      <c r="E30" s="724">
        <f t="shared" si="1"/>
        <v>0.39583333333333337</v>
      </c>
      <c r="F30" s="1079">
        <f t="shared" si="2"/>
        <v>19</v>
      </c>
      <c r="G30" s="724">
        <v>0.39583333333333331</v>
      </c>
      <c r="H30" s="724">
        <f>Q52</f>
        <v>4.1666666666666664E-2</v>
      </c>
      <c r="I30" s="724">
        <v>0.83333333333333337</v>
      </c>
      <c r="J30" s="654" t="s">
        <v>606</v>
      </c>
      <c r="K30" s="657"/>
      <c r="L30" s="654"/>
      <c r="M30" s="657"/>
      <c r="N30" s="654"/>
      <c r="O30" s="657">
        <v>44</v>
      </c>
      <c r="P30" s="714">
        <v>2</v>
      </c>
      <c r="Q30" s="1083"/>
      <c r="R30" s="1083"/>
      <c r="S30" s="718"/>
      <c r="T30" s="718"/>
      <c r="U30" s="718"/>
      <c r="V30" s="718"/>
      <c r="W30" s="718"/>
      <c r="X30" s="642">
        <f t="shared" si="4"/>
        <v>3</v>
      </c>
    </row>
    <row r="31" spans="1:24" x14ac:dyDescent="0.25">
      <c r="A31" s="1289"/>
      <c r="B31" s="1292"/>
      <c r="C31" s="1080">
        <v>45106</v>
      </c>
      <c r="D31" s="657" t="str">
        <f t="shared" si="0"/>
        <v>Čt</v>
      </c>
      <c r="E31" s="724">
        <f t="shared" si="1"/>
        <v>0.45833333333333326</v>
      </c>
      <c r="F31" s="1079">
        <f t="shared" si="2"/>
        <v>21.999999999999996</v>
      </c>
      <c r="G31" s="724">
        <v>0.29166666666666669</v>
      </c>
      <c r="H31" s="724">
        <f>Q52</f>
        <v>4.1666666666666664E-2</v>
      </c>
      <c r="I31" s="724">
        <v>0.79166666666666663</v>
      </c>
      <c r="J31" s="654" t="s">
        <v>606</v>
      </c>
      <c r="K31" s="657"/>
      <c r="L31" s="654"/>
      <c r="M31" s="657"/>
      <c r="N31" s="654"/>
      <c r="O31" s="657">
        <v>44</v>
      </c>
      <c r="P31" s="714">
        <v>2</v>
      </c>
      <c r="Q31" s="918"/>
      <c r="R31" s="1091"/>
      <c r="S31" s="718"/>
      <c r="T31" s="718"/>
      <c r="U31" s="718"/>
      <c r="V31" s="718"/>
      <c r="W31" s="718"/>
      <c r="X31" s="642">
        <f t="shared" si="4"/>
        <v>4</v>
      </c>
    </row>
    <row r="32" spans="1:24" x14ac:dyDescent="0.25">
      <c r="A32" s="1289"/>
      <c r="B32" s="1292"/>
      <c r="C32" s="1080">
        <v>45107</v>
      </c>
      <c r="D32" s="657" t="str">
        <f t="shared" si="0"/>
        <v>Pá</v>
      </c>
      <c r="E32" s="724">
        <f t="shared" si="1"/>
        <v>0.41666666666666663</v>
      </c>
      <c r="F32" s="1079">
        <f t="shared" si="2"/>
        <v>20</v>
      </c>
      <c r="G32" s="724">
        <v>0.29166666666666669</v>
      </c>
      <c r="H32" s="724">
        <f>Q52</f>
        <v>4.1666666666666664E-2</v>
      </c>
      <c r="I32" s="724">
        <v>0.75</v>
      </c>
      <c r="J32" s="654" t="s">
        <v>606</v>
      </c>
      <c r="K32" s="657"/>
      <c r="L32" s="654"/>
      <c r="M32" s="657"/>
      <c r="N32" s="654"/>
      <c r="O32" s="657">
        <v>44</v>
      </c>
      <c r="P32" s="714">
        <v>2</v>
      </c>
      <c r="Q32" s="654"/>
      <c r="R32" s="1026"/>
      <c r="S32" s="718"/>
      <c r="T32" s="718"/>
      <c r="U32" s="718"/>
      <c r="V32" s="718"/>
      <c r="W32" s="718"/>
      <c r="X32" s="642">
        <f t="shared" si="4"/>
        <v>5</v>
      </c>
    </row>
    <row r="33" spans="1:24" x14ac:dyDescent="0.25">
      <c r="A33" s="1289"/>
      <c r="B33" s="1292"/>
      <c r="C33" s="1080">
        <v>45108</v>
      </c>
      <c r="D33" s="657" t="str">
        <f t="shared" si="0"/>
        <v>So</v>
      </c>
      <c r="E33" s="724">
        <f t="shared" si="1"/>
        <v>0.37500000000000006</v>
      </c>
      <c r="F33" s="1079">
        <f t="shared" si="2"/>
        <v>0</v>
      </c>
      <c r="G33" s="724">
        <v>0.3125</v>
      </c>
      <c r="H33" s="724">
        <f>Q51</f>
        <v>2.0833333333333332E-2</v>
      </c>
      <c r="I33" s="724">
        <v>0.70833333333333337</v>
      </c>
      <c r="J33" s="654" t="s">
        <v>606</v>
      </c>
      <c r="K33" s="657"/>
      <c r="L33" s="654"/>
      <c r="M33" s="657"/>
      <c r="N33" s="654"/>
      <c r="O33" s="657"/>
      <c r="P33" s="714"/>
      <c r="Q33" s="654"/>
      <c r="R33" s="1026"/>
      <c r="S33" s="718"/>
      <c r="T33" s="718"/>
      <c r="U33" s="718"/>
      <c r="V33" s="718"/>
      <c r="W33" s="718"/>
      <c r="X33" s="642">
        <f t="shared" si="4"/>
        <v>6</v>
      </c>
    </row>
    <row r="34" spans="1:24" x14ac:dyDescent="0.25">
      <c r="A34" s="1290"/>
      <c r="B34" s="1291"/>
      <c r="C34" s="1080">
        <v>45109</v>
      </c>
      <c r="D34" s="657" t="str">
        <f t="shared" si="0"/>
        <v>Ne</v>
      </c>
      <c r="E34" s="724">
        <f t="shared" si="1"/>
        <v>0</v>
      </c>
      <c r="F34" s="1079">
        <f t="shared" si="2"/>
        <v>0</v>
      </c>
      <c r="G34" s="724"/>
      <c r="H34" s="724"/>
      <c r="I34" s="724"/>
      <c r="J34" s="654"/>
      <c r="K34" s="657"/>
      <c r="L34" s="654"/>
      <c r="M34" s="657"/>
      <c r="N34" s="654"/>
      <c r="O34" s="657"/>
      <c r="P34" s="714"/>
      <c r="Q34" s="654"/>
      <c r="R34" s="1026"/>
      <c r="S34" s="718"/>
      <c r="T34" s="718"/>
      <c r="U34" s="718"/>
      <c r="V34" s="718"/>
      <c r="W34" s="718"/>
      <c r="X34" s="642">
        <f>WEEKDAY(C34,2)</f>
        <v>7</v>
      </c>
    </row>
    <row r="35" spans="1:24" x14ac:dyDescent="0.25">
      <c r="A35" s="1290"/>
      <c r="B35" s="1291"/>
      <c r="C35" s="1080">
        <v>45110</v>
      </c>
      <c r="D35" s="657" t="str">
        <f t="shared" si="0"/>
        <v>Po</v>
      </c>
      <c r="E35" s="724">
        <f t="shared" si="1"/>
        <v>0</v>
      </c>
      <c r="F35" s="1079">
        <f t="shared" si="2"/>
        <v>0</v>
      </c>
      <c r="G35" s="724"/>
      <c r="H35" s="724"/>
      <c r="I35" s="724"/>
      <c r="J35" s="654"/>
      <c r="K35" s="657"/>
      <c r="L35" s="654"/>
      <c r="M35" s="657"/>
      <c r="N35" s="654"/>
      <c r="O35" s="657"/>
      <c r="P35" s="714"/>
      <c r="Q35" s="654"/>
      <c r="R35" s="1026"/>
      <c r="S35" s="718"/>
      <c r="T35" s="718"/>
      <c r="U35" s="718"/>
      <c r="V35" s="718"/>
      <c r="W35" s="718"/>
      <c r="X35" s="642">
        <f t="shared" ref="X35:X36" si="5">WEEKDAY(C35,2)</f>
        <v>1</v>
      </c>
    </row>
    <row r="36" spans="1:24" ht="15.75" thickBot="1" x14ac:dyDescent="0.3">
      <c r="A36" s="1290"/>
      <c r="B36" s="1291"/>
      <c r="C36" s="1080">
        <v>45111</v>
      </c>
      <c r="D36" s="658" t="str">
        <f t="shared" si="0"/>
        <v>Út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718"/>
      <c r="T36" s="718"/>
      <c r="U36" s="718"/>
      <c r="V36" s="718"/>
      <c r="W36" s="718"/>
      <c r="X36" s="642">
        <f t="shared" si="5"/>
        <v>2</v>
      </c>
    </row>
    <row r="37" spans="1:24" x14ac:dyDescent="0.25">
      <c r="C37" s="610"/>
      <c r="D37" s="610"/>
      <c r="E37" s="610"/>
      <c r="F37" s="610"/>
      <c r="G37" s="610"/>
      <c r="H37" s="610"/>
      <c r="I37" s="610"/>
      <c r="J37" s="610"/>
      <c r="K37" s="610"/>
      <c r="L37" s="610"/>
      <c r="M37" s="610"/>
      <c r="N37" s="610"/>
      <c r="O37" s="610"/>
      <c r="P37" s="610"/>
      <c r="Q37" s="610"/>
      <c r="R37" s="610"/>
      <c r="S37" s="610"/>
      <c r="T37" s="610"/>
      <c r="U37" s="610"/>
      <c r="V37" s="610"/>
      <c r="W37" s="610"/>
    </row>
    <row r="39" spans="1:24" x14ac:dyDescent="0.25">
      <c r="G39" s="731"/>
      <c r="H39" s="731"/>
      <c r="Q39" s="731"/>
    </row>
    <row r="40" spans="1:24" x14ac:dyDescent="0.25">
      <c r="E40" s="733"/>
      <c r="G40" s="732"/>
      <c r="H40" s="732"/>
    </row>
    <row r="41" spans="1:24" x14ac:dyDescent="0.25">
      <c r="Q41" s="732">
        <f>SUM(E3:E32)</f>
        <v>2.0833333333333335</v>
      </c>
      <c r="R41" t="s">
        <v>315</v>
      </c>
    </row>
    <row r="42" spans="1:24" x14ac:dyDescent="0.25">
      <c r="Q42" s="732">
        <v>0</v>
      </c>
      <c r="R42" t="s">
        <v>316</v>
      </c>
    </row>
    <row r="46" spans="1:24" x14ac:dyDescent="0.25">
      <c r="E46" s="731"/>
    </row>
    <row r="51" spans="17:17" x14ac:dyDescent="0.25">
      <c r="Q51" s="731">
        <f>TIME(0,30,0)</f>
        <v>2.0833333333333332E-2</v>
      </c>
    </row>
    <row r="52" spans="17:17" x14ac:dyDescent="0.25">
      <c r="Q52" s="731">
        <f>TIME(1,0,0)</f>
        <v>4.1666666666666664E-2</v>
      </c>
    </row>
  </sheetData>
  <mergeCells count="12">
    <mergeCell ref="A3:A4"/>
    <mergeCell ref="B3:B4"/>
    <mergeCell ref="A5:A11"/>
    <mergeCell ref="B5:B11"/>
    <mergeCell ref="A12:A18"/>
    <mergeCell ref="B12:B18"/>
    <mergeCell ref="A19:A25"/>
    <mergeCell ref="B19:B25"/>
    <mergeCell ref="A26:A33"/>
    <mergeCell ref="B26:B33"/>
    <mergeCell ref="A34:A36"/>
    <mergeCell ref="B34:B36"/>
  </mergeCells>
  <pageMargins left="0.7" right="0.7" top="0.75" bottom="0.75" header="0.3" footer="0.3"/>
  <tableParts count="1">
    <tablePart r:id="rId1"/>
  </tableParts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0E491-8D21-7640-A517-2B2000CB16F9}">
  <dimension ref="A1:AC42"/>
  <sheetViews>
    <sheetView zoomScaleNormal="60" zoomScaleSheetLayoutView="100" workbookViewId="0">
      <selection activeCell="G11" sqref="G11"/>
    </sheetView>
  </sheetViews>
  <sheetFormatPr defaultColWidth="8.5703125" defaultRowHeight="15" x14ac:dyDescent="0.25"/>
  <cols>
    <col min="2" max="2" width="9.140625" customWidth="1"/>
    <col min="3" max="3" width="11" bestFit="1" customWidth="1"/>
    <col min="4" max="4" width="7.42578125" bestFit="1" customWidth="1"/>
    <col min="5" max="5" width="12.8554687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10.28515625" customWidth="1"/>
    <col min="21" max="21" width="18.28515625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9" ht="21" x14ac:dyDescent="0.25">
      <c r="A1" s="1196"/>
      <c r="B1" s="1196"/>
      <c r="C1" s="1293" t="s">
        <v>416</v>
      </c>
      <c r="D1" s="1293"/>
      <c r="E1" s="1293"/>
      <c r="F1" s="1293"/>
      <c r="G1" s="1293"/>
      <c r="M1" s="1195" t="s">
        <v>416</v>
      </c>
      <c r="AC1" t="s">
        <v>670</v>
      </c>
    </row>
    <row r="2" spans="1:29" ht="15.75" thickBot="1" x14ac:dyDescent="0.3">
      <c r="A2" s="1193" t="s">
        <v>660</v>
      </c>
      <c r="B2" s="1193" t="s">
        <v>668</v>
      </c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667</v>
      </c>
      <c r="U2" s="650" t="s">
        <v>12</v>
      </c>
      <c r="V2" s="650" t="s">
        <v>13</v>
      </c>
      <c r="W2" s="650" t="s">
        <v>14</v>
      </c>
      <c r="X2" s="642"/>
    </row>
    <row r="3" spans="1:29" ht="19.5" customHeight="1" thickBot="1" x14ac:dyDescent="0.3">
      <c r="A3" s="1289" t="s">
        <v>662</v>
      </c>
      <c r="B3" s="1292">
        <f>SUM(E3:E4)*24</f>
        <v>9.0000000000000018</v>
      </c>
      <c r="C3" s="1080">
        <v>45108</v>
      </c>
      <c r="D3" s="656" t="str">
        <f t="shared" ref="D3:D36" si="0">CHOOSE(WEEKDAY(X3),"Po","Út","St","Čt","Pá","So","Ne")</f>
        <v>So</v>
      </c>
      <c r="E3" s="724">
        <f t="shared" ref="E3:E36" si="1">I3-G3-H3</f>
        <v>0.37500000000000006</v>
      </c>
      <c r="F3" s="1079">
        <f t="shared" ref="F3:F36" si="2">(P3*E3)*24</f>
        <v>0</v>
      </c>
      <c r="G3" s="724">
        <v>0.3125</v>
      </c>
      <c r="H3" s="724">
        <f>H37</f>
        <v>2.0833333333333332E-2</v>
      </c>
      <c r="I3" s="724">
        <v>0.70833333333333337</v>
      </c>
      <c r="J3" s="654"/>
      <c r="K3" s="657"/>
      <c r="L3" s="654"/>
      <c r="M3" s="656"/>
      <c r="N3" s="654"/>
      <c r="O3" s="657"/>
      <c r="P3" s="713"/>
      <c r="Q3" s="1081">
        <f>(Q5+Q7)</f>
        <v>218.5</v>
      </c>
      <c r="R3" s="656">
        <f t="shared" ref="R3" si="3">R5+R7</f>
        <v>0</v>
      </c>
      <c r="S3" s="1094">
        <f>'03hod24'!Q6</f>
        <v>0</v>
      </c>
      <c r="T3" s="644"/>
      <c r="U3" s="1092" t="str">
        <f>'06hod23'!U6</f>
        <v xml:space="preserve">Výplata za Červen </v>
      </c>
      <c r="V3" s="1093" t="str">
        <f>'06hod23'!V6</f>
        <v>xx.07.2023</v>
      </c>
      <c r="W3" s="1194">
        <f>(Q7-3)*20</f>
        <v>3020</v>
      </c>
      <c r="X3" s="642">
        <f t="shared" ref="X3:X33" si="4">WEEKDAY(C3,2)</f>
        <v>6</v>
      </c>
    </row>
    <row r="4" spans="1:29" ht="18.75" customHeight="1" x14ac:dyDescent="0.25">
      <c r="A4" s="1289"/>
      <c r="B4" s="1292"/>
      <c r="C4" s="1080">
        <v>45109</v>
      </c>
      <c r="D4" s="657" t="str">
        <f t="shared" si="0"/>
        <v>Ne</v>
      </c>
      <c r="E4" s="724">
        <f t="shared" si="1"/>
        <v>0</v>
      </c>
      <c r="F4" s="1079">
        <f t="shared" si="2"/>
        <v>0</v>
      </c>
      <c r="G4" s="724"/>
      <c r="H4" s="724"/>
      <c r="I4" s="724"/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/>
      <c r="U4" s="611"/>
      <c r="V4" s="874"/>
      <c r="W4" s="718"/>
      <c r="X4" s="642">
        <f t="shared" si="4"/>
        <v>7</v>
      </c>
    </row>
    <row r="5" spans="1:29" ht="18.75" customHeight="1" x14ac:dyDescent="0.25">
      <c r="A5" s="1290" t="s">
        <v>663</v>
      </c>
      <c r="B5" s="1291">
        <f>SUM(E5:E11)*24</f>
        <v>55.499999999999986</v>
      </c>
      <c r="C5" s="1080">
        <v>45110</v>
      </c>
      <c r="D5" s="657" t="str">
        <f t="shared" si="0"/>
        <v>Po</v>
      </c>
      <c r="E5" s="724">
        <f t="shared" si="1"/>
        <v>0.45833333333333326</v>
      </c>
      <c r="F5" s="1079">
        <f t="shared" si="2"/>
        <v>0</v>
      </c>
      <c r="G5" s="724">
        <v>0.29166666666666669</v>
      </c>
      <c r="H5" s="724">
        <f>H38</f>
        <v>4.1666666666666664E-2</v>
      </c>
      <c r="I5" s="724">
        <v>0.79166666666666663</v>
      </c>
      <c r="J5" s="654"/>
      <c r="K5" s="657"/>
      <c r="L5" s="654"/>
      <c r="M5" s="657"/>
      <c r="N5" s="654"/>
      <c r="O5" s="657"/>
      <c r="P5" s="714"/>
      <c r="Q5" s="1082">
        <f>Q37*24</f>
        <v>64.499999999999986</v>
      </c>
      <c r="R5" s="657">
        <v>0</v>
      </c>
      <c r="S5" s="738">
        <v>0</v>
      </c>
      <c r="T5" s="611"/>
      <c r="U5" s="611"/>
      <c r="V5" s="646"/>
      <c r="W5" s="718"/>
      <c r="X5" s="642">
        <f t="shared" si="4"/>
        <v>1</v>
      </c>
    </row>
    <row r="6" spans="1:29" ht="18.75" customHeight="1" x14ac:dyDescent="0.25">
      <c r="A6" s="1290"/>
      <c r="B6" s="1291"/>
      <c r="C6" s="1080">
        <v>45111</v>
      </c>
      <c r="D6" s="657" t="str">
        <f t="shared" si="0"/>
        <v>Út</v>
      </c>
      <c r="E6" s="724">
        <f t="shared" si="1"/>
        <v>0.39583333333333337</v>
      </c>
      <c r="F6" s="1079">
        <f t="shared" si="2"/>
        <v>0</v>
      </c>
      <c r="G6" s="724">
        <v>0.39583333333333331</v>
      </c>
      <c r="H6" s="724">
        <f>H38</f>
        <v>4.1666666666666664E-2</v>
      </c>
      <c r="I6" s="724">
        <v>0.83333333333333337</v>
      </c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/>
      <c r="U6" s="611" t="s">
        <v>559</v>
      </c>
      <c r="V6" s="646" t="s">
        <v>653</v>
      </c>
      <c r="W6" s="718"/>
      <c r="X6" s="642">
        <f t="shared" si="4"/>
        <v>2</v>
      </c>
    </row>
    <row r="7" spans="1:29" ht="19.5" customHeight="1" thickBot="1" x14ac:dyDescent="0.3">
      <c r="A7" s="1290"/>
      <c r="B7" s="1291"/>
      <c r="C7" s="1080">
        <v>45112</v>
      </c>
      <c r="D7" s="657" t="str">
        <f t="shared" si="0"/>
        <v>St</v>
      </c>
      <c r="E7" s="724">
        <f t="shared" si="1"/>
        <v>0.43749999999999994</v>
      </c>
      <c r="F7" s="1079">
        <f t="shared" si="2"/>
        <v>0</v>
      </c>
      <c r="G7" s="724">
        <v>0.3125</v>
      </c>
      <c r="H7" s="724">
        <f>H38</f>
        <v>4.1666666666666664E-2</v>
      </c>
      <c r="I7" s="724">
        <v>0.79166666666666663</v>
      </c>
      <c r="J7" s="654"/>
      <c r="K7" s="657"/>
      <c r="L7" s="654"/>
      <c r="M7" s="657"/>
      <c r="N7" s="654"/>
      <c r="O7" s="657"/>
      <c r="P7" s="714"/>
      <c r="Q7" s="1082">
        <f>Q38*24</f>
        <v>154</v>
      </c>
      <c r="R7" s="657">
        <v>0</v>
      </c>
      <c r="S7" s="712" t="s">
        <v>134</v>
      </c>
      <c r="T7" s="647"/>
      <c r="U7" s="647" t="s">
        <v>48</v>
      </c>
      <c r="V7" s="648"/>
      <c r="W7" s="718"/>
      <c r="X7" s="642">
        <f t="shared" si="4"/>
        <v>3</v>
      </c>
    </row>
    <row r="8" spans="1:29" ht="18.75" customHeight="1" x14ac:dyDescent="0.25">
      <c r="A8" s="1290"/>
      <c r="B8" s="1291"/>
      <c r="C8" s="1080">
        <v>45113</v>
      </c>
      <c r="D8" s="657" t="str">
        <f t="shared" si="0"/>
        <v>Čt</v>
      </c>
      <c r="E8" s="724">
        <f t="shared" si="1"/>
        <v>0.35416666666666663</v>
      </c>
      <c r="F8" s="1079">
        <f t="shared" si="2"/>
        <v>0</v>
      </c>
      <c r="G8" s="724">
        <v>0.39583333333333331</v>
      </c>
      <c r="H8" s="724">
        <f>H38</f>
        <v>4.1666666666666664E-2</v>
      </c>
      <c r="I8" s="724">
        <v>0.79166666666666663</v>
      </c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0</v>
      </c>
      <c r="T8" s="718"/>
      <c r="U8" s="718"/>
      <c r="V8" s="718"/>
      <c r="W8" s="718"/>
      <c r="X8" s="642">
        <f t="shared" si="4"/>
        <v>4</v>
      </c>
    </row>
    <row r="9" spans="1:29" ht="18.75" customHeight="1" x14ac:dyDescent="0.25">
      <c r="A9" s="1290"/>
      <c r="B9" s="1291"/>
      <c r="C9" s="1080">
        <v>45114</v>
      </c>
      <c r="D9" s="657" t="str">
        <f t="shared" si="0"/>
        <v>Pá</v>
      </c>
      <c r="E9" s="724">
        <f t="shared" si="1"/>
        <v>0.35416666666666663</v>
      </c>
      <c r="F9" s="1079">
        <f t="shared" si="2"/>
        <v>0</v>
      </c>
      <c r="G9" s="724">
        <v>0.39583333333333331</v>
      </c>
      <c r="H9" s="724">
        <f>H38</f>
        <v>4.1666666666666664E-2</v>
      </c>
      <c r="I9" s="724">
        <v>0.79166666666666663</v>
      </c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718"/>
      <c r="U9" s="718"/>
      <c r="V9" s="718"/>
      <c r="W9" s="718"/>
      <c r="X9" s="642">
        <f t="shared" si="4"/>
        <v>5</v>
      </c>
    </row>
    <row r="10" spans="1:29" ht="18.75" customHeight="1" x14ac:dyDescent="0.25">
      <c r="A10" s="1290"/>
      <c r="B10" s="1291"/>
      <c r="C10" s="1080">
        <v>45115</v>
      </c>
      <c r="D10" s="657" t="str">
        <f t="shared" si="0"/>
        <v>So</v>
      </c>
      <c r="E10" s="724">
        <f t="shared" si="1"/>
        <v>0.3125</v>
      </c>
      <c r="F10" s="1079">
        <f t="shared" si="2"/>
        <v>0</v>
      </c>
      <c r="G10" s="724">
        <v>0.3125</v>
      </c>
      <c r="H10" s="724"/>
      <c r="I10" s="724">
        <v>0.625</v>
      </c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0</v>
      </c>
      <c r="T10" s="718"/>
      <c r="U10" s="718"/>
      <c r="V10" s="718"/>
      <c r="W10" s="718"/>
      <c r="X10" s="642">
        <f t="shared" si="4"/>
        <v>6</v>
      </c>
    </row>
    <row r="11" spans="1:29" ht="18.75" customHeight="1" x14ac:dyDescent="0.25">
      <c r="A11" s="1290"/>
      <c r="B11" s="1291"/>
      <c r="C11" s="1080">
        <v>45116</v>
      </c>
      <c r="D11" s="657" t="str">
        <f t="shared" si="0"/>
        <v>Ne</v>
      </c>
      <c r="E11" s="724">
        <f t="shared" si="1"/>
        <v>0</v>
      </c>
      <c r="F11" s="1079">
        <f t="shared" si="2"/>
        <v>0</v>
      </c>
      <c r="G11" s="724"/>
      <c r="H11" s="724"/>
      <c r="I11" s="724"/>
      <c r="J11" s="654"/>
      <c r="K11" s="657"/>
      <c r="L11" s="654"/>
      <c r="M11" s="657"/>
      <c r="N11" s="654"/>
      <c r="O11" s="657"/>
      <c r="P11" s="714"/>
      <c r="Q11" s="1083">
        <f>(Q3*400)</f>
        <v>87400</v>
      </c>
      <c r="R11" s="1088">
        <f>SUM(R3*400)</f>
        <v>0</v>
      </c>
      <c r="S11" s="719"/>
      <c r="T11" s="718"/>
      <c r="U11" s="718"/>
      <c r="V11" s="718"/>
      <c r="W11" s="718"/>
      <c r="X11" s="642">
        <f t="shared" si="4"/>
        <v>7</v>
      </c>
    </row>
    <row r="12" spans="1:29" ht="18.75" customHeight="1" x14ac:dyDescent="0.25">
      <c r="A12" s="1289" t="s">
        <v>664</v>
      </c>
      <c r="B12" s="1292">
        <f>SUM(E12:E18)*24</f>
        <v>44</v>
      </c>
      <c r="C12" s="1080">
        <v>45117</v>
      </c>
      <c r="D12" s="657" t="str">
        <f t="shared" si="0"/>
        <v>Po</v>
      </c>
      <c r="E12" s="724">
        <f t="shared" si="1"/>
        <v>0.35416666666666663</v>
      </c>
      <c r="F12" s="1079">
        <f t="shared" si="2"/>
        <v>0</v>
      </c>
      <c r="G12" s="724">
        <v>0.52083333333333337</v>
      </c>
      <c r="H12" s="724"/>
      <c r="I12" s="724">
        <v>0.875</v>
      </c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718"/>
      <c r="T12" s="718"/>
      <c r="U12" s="718"/>
      <c r="V12" s="718"/>
      <c r="W12" s="718"/>
      <c r="X12" s="642">
        <f t="shared" si="4"/>
        <v>1</v>
      </c>
    </row>
    <row r="13" spans="1:29" ht="18.75" customHeight="1" x14ac:dyDescent="0.25">
      <c r="A13" s="1289"/>
      <c r="B13" s="1292"/>
      <c r="C13" s="1080">
        <v>45118</v>
      </c>
      <c r="D13" s="657" t="str">
        <f t="shared" si="0"/>
        <v>Út</v>
      </c>
      <c r="E13" s="724">
        <f>I13-G13-H13</f>
        <v>0.39583333333333337</v>
      </c>
      <c r="F13" s="1079">
        <f t="shared" si="2"/>
        <v>0</v>
      </c>
      <c r="G13" s="724">
        <v>0.33333333333333331</v>
      </c>
      <c r="H13" s="724">
        <f>H38</f>
        <v>4.1666666666666664E-2</v>
      </c>
      <c r="I13" s="724">
        <v>0.77083333333333337</v>
      </c>
      <c r="J13" s="654"/>
      <c r="K13" s="657"/>
      <c r="L13" s="654"/>
      <c r="M13" s="657"/>
      <c r="N13" s="654"/>
      <c r="O13" s="657"/>
      <c r="P13" s="714"/>
      <c r="Q13" s="1083">
        <f>(Q11+Q21+Q19-Q23)-Q15-R25</f>
        <v>78923.075100000002</v>
      </c>
      <c r="R13" s="1088">
        <f>(R11+R19+R21-R23)-R15-R25</f>
        <v>0</v>
      </c>
      <c r="S13" s="718"/>
      <c r="T13" s="718"/>
      <c r="U13" s="718"/>
      <c r="V13" s="718"/>
      <c r="W13" s="718"/>
      <c r="X13" s="642">
        <f t="shared" si="4"/>
        <v>2</v>
      </c>
    </row>
    <row r="14" spans="1:29" ht="18.75" customHeight="1" x14ac:dyDescent="0.25">
      <c r="A14" s="1289"/>
      <c r="B14" s="1292"/>
      <c r="C14" s="1080">
        <v>45119</v>
      </c>
      <c r="D14" s="657" t="str">
        <f t="shared" si="0"/>
        <v>St</v>
      </c>
      <c r="E14" s="724">
        <f t="shared" si="1"/>
        <v>0.37499999999999994</v>
      </c>
      <c r="F14" s="1079">
        <f t="shared" si="2"/>
        <v>0</v>
      </c>
      <c r="G14" s="724">
        <v>0.375</v>
      </c>
      <c r="H14" s="724">
        <f>H38</f>
        <v>4.1666666666666664E-2</v>
      </c>
      <c r="I14" s="724">
        <v>0.79166666666666663</v>
      </c>
      <c r="J14" s="654"/>
      <c r="K14" s="657"/>
      <c r="L14" s="654"/>
      <c r="M14" s="657"/>
      <c r="N14" s="654" t="s">
        <v>669</v>
      </c>
      <c r="O14" s="657"/>
      <c r="P14" s="714"/>
      <c r="Q14" s="654" t="s">
        <v>26</v>
      </c>
      <c r="R14" s="1088" t="s">
        <v>26</v>
      </c>
      <c r="S14" s="718"/>
      <c r="T14" s="718"/>
      <c r="U14" s="718"/>
      <c r="V14" s="718"/>
      <c r="W14" s="718"/>
      <c r="X14" s="642">
        <f t="shared" si="4"/>
        <v>3</v>
      </c>
    </row>
    <row r="15" spans="1:29" ht="18.75" customHeight="1" x14ac:dyDescent="0.25">
      <c r="A15" s="1289"/>
      <c r="B15" s="1292"/>
      <c r="C15" s="1080">
        <v>45120</v>
      </c>
      <c r="D15" s="657" t="str">
        <f t="shared" si="0"/>
        <v>Čt</v>
      </c>
      <c r="E15" s="724">
        <f t="shared" si="1"/>
        <v>0.33333333333333337</v>
      </c>
      <c r="F15" s="1079">
        <f t="shared" si="2"/>
        <v>0</v>
      </c>
      <c r="G15" s="724">
        <v>0.45833333333333331</v>
      </c>
      <c r="H15" s="724">
        <f>H38</f>
        <v>4.1666666666666664E-2</v>
      </c>
      <c r="I15" s="724">
        <v>0.83333333333333337</v>
      </c>
      <c r="J15" s="654"/>
      <c r="K15" s="657"/>
      <c r="L15" s="654"/>
      <c r="M15" s="657"/>
      <c r="N15" s="654"/>
      <c r="O15" s="657"/>
      <c r="P15" s="714"/>
      <c r="Q15" s="1083">
        <f>(Q17*25.53)</f>
        <v>11496.924900000002</v>
      </c>
      <c r="R15" s="1088">
        <f>(R17*25.53)</f>
        <v>0</v>
      </c>
      <c r="S15" s="923" t="s">
        <v>458</v>
      </c>
      <c r="T15" s="1004">
        <f>R15+R23-R19</f>
        <v>0</v>
      </c>
      <c r="U15" s="1007"/>
      <c r="V15" s="923" t="s">
        <v>462</v>
      </c>
      <c r="W15" s="1004">
        <f>R15+R23</f>
        <v>0</v>
      </c>
      <c r="X15" s="642">
        <f t="shared" si="4"/>
        <v>4</v>
      </c>
    </row>
    <row r="16" spans="1:29" ht="18.75" customHeight="1" x14ac:dyDescent="0.25">
      <c r="A16" s="1289"/>
      <c r="B16" s="1292"/>
      <c r="C16" s="1080">
        <v>45121</v>
      </c>
      <c r="D16" s="657" t="str">
        <f t="shared" si="0"/>
        <v>Pá</v>
      </c>
      <c r="E16" s="724">
        <f t="shared" si="1"/>
        <v>0.375</v>
      </c>
      <c r="F16" s="1079">
        <f t="shared" si="2"/>
        <v>0</v>
      </c>
      <c r="G16" s="724">
        <v>0.39583333333333331</v>
      </c>
      <c r="H16" s="724">
        <f>H37</f>
        <v>2.0833333333333332E-2</v>
      </c>
      <c r="I16" s="724">
        <v>0.79166666666666663</v>
      </c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001" t="s">
        <v>459</v>
      </c>
      <c r="T16" s="1002">
        <f>R11</f>
        <v>0</v>
      </c>
      <c r="U16" s="1008"/>
      <c r="V16" s="1001" t="s">
        <v>463</v>
      </c>
      <c r="W16" s="1002">
        <f>R11+R19+R21+Q29</f>
        <v>0</v>
      </c>
      <c r="X16" s="642">
        <f t="shared" si="4"/>
        <v>5</v>
      </c>
    </row>
    <row r="17" spans="1:24" ht="18.75" customHeight="1" x14ac:dyDescent="0.25">
      <c r="A17" s="1289"/>
      <c r="B17" s="1292"/>
      <c r="C17" s="1080">
        <v>45122</v>
      </c>
      <c r="D17" s="657" t="str">
        <f t="shared" si="0"/>
        <v>So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154">
        <f>'04cash'!O44</f>
        <v>450.33000000000004</v>
      </c>
      <c r="R17" s="1089">
        <v>0</v>
      </c>
      <c r="S17" s="1001"/>
      <c r="T17" s="1003">
        <f>T16-T15</f>
        <v>0</v>
      </c>
      <c r="U17" s="1008"/>
      <c r="V17" s="1001" t="s">
        <v>513</v>
      </c>
      <c r="W17" s="1002">
        <f>W16-W15</f>
        <v>0</v>
      </c>
      <c r="X17" s="642">
        <f t="shared" si="4"/>
        <v>6</v>
      </c>
    </row>
    <row r="18" spans="1:24" ht="18.75" customHeight="1" x14ac:dyDescent="0.25">
      <c r="A18" s="1289"/>
      <c r="B18" s="1292"/>
      <c r="C18" s="1080">
        <v>45123</v>
      </c>
      <c r="D18" s="657" t="str">
        <f t="shared" si="0"/>
        <v>Ne</v>
      </c>
      <c r="E18" s="724">
        <f t="shared" si="1"/>
        <v>0</v>
      </c>
      <c r="F18" s="1079">
        <f t="shared" si="2"/>
        <v>0</v>
      </c>
      <c r="G18" s="724"/>
      <c r="H18" s="724"/>
      <c r="I18" s="724"/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002">
        <f>T17-S6-S8</f>
        <v>0</v>
      </c>
      <c r="T18" s="1001"/>
      <c r="U18" s="1009"/>
      <c r="V18" s="1001" t="s">
        <v>514</v>
      </c>
      <c r="W18" s="1002">
        <f>W17-S6-S8</f>
        <v>0</v>
      </c>
      <c r="X18" s="642">
        <f t="shared" si="4"/>
        <v>7</v>
      </c>
    </row>
    <row r="19" spans="1:24" ht="18.75" customHeight="1" x14ac:dyDescent="0.25">
      <c r="A19" s="1290" t="s">
        <v>665</v>
      </c>
      <c r="B19" s="1291">
        <f>SUM(E19:E25)*24</f>
        <v>58</v>
      </c>
      <c r="C19" s="1080">
        <v>45124</v>
      </c>
      <c r="D19" s="657" t="str">
        <f t="shared" si="0"/>
        <v>Po</v>
      </c>
      <c r="E19" s="724">
        <f t="shared" si="1"/>
        <v>0.39583333333333331</v>
      </c>
      <c r="F19" s="1079">
        <f t="shared" si="2"/>
        <v>0</v>
      </c>
      <c r="G19" s="724">
        <v>0.375</v>
      </c>
      <c r="H19" s="724">
        <f>H38</f>
        <v>4.1666666666666664E-2</v>
      </c>
      <c r="I19" s="724">
        <v>0.8125</v>
      </c>
      <c r="J19" s="654"/>
      <c r="K19" s="657"/>
      <c r="L19" s="654"/>
      <c r="M19" s="657"/>
      <c r="N19" s="654"/>
      <c r="O19" s="657"/>
      <c r="P19" s="714"/>
      <c r="Q19" s="1083"/>
      <c r="R19" s="1088"/>
      <c r="S19" s="1001"/>
      <c r="T19" s="1001"/>
      <c r="U19" s="1008"/>
      <c r="V19" s="1001"/>
      <c r="W19" s="1001"/>
      <c r="X19" s="642">
        <f t="shared" si="4"/>
        <v>1</v>
      </c>
    </row>
    <row r="20" spans="1:24" ht="18.75" customHeight="1" x14ac:dyDescent="0.25">
      <c r="A20" s="1290"/>
      <c r="B20" s="1291"/>
      <c r="C20" s="1080">
        <v>45125</v>
      </c>
      <c r="D20" s="657" t="str">
        <f t="shared" si="0"/>
        <v>Út</v>
      </c>
      <c r="E20" s="724">
        <f t="shared" si="1"/>
        <v>0.4375</v>
      </c>
      <c r="F20" s="1079">
        <f t="shared" si="2"/>
        <v>0</v>
      </c>
      <c r="G20" s="724">
        <v>0.33333333333333331</v>
      </c>
      <c r="H20" s="724">
        <f>H38</f>
        <v>4.1666666666666664E-2</v>
      </c>
      <c r="I20" s="724">
        <v>0.8125</v>
      </c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001"/>
      <c r="T20" s="1001"/>
      <c r="U20" s="1008"/>
      <c r="V20" s="1001"/>
      <c r="W20" s="1001"/>
      <c r="X20" s="642">
        <f t="shared" si="4"/>
        <v>2</v>
      </c>
    </row>
    <row r="21" spans="1:24" ht="18.75" customHeight="1" x14ac:dyDescent="0.25">
      <c r="A21" s="1290"/>
      <c r="B21" s="1291"/>
      <c r="C21" s="1080">
        <v>45126</v>
      </c>
      <c r="D21" s="657" t="str">
        <f t="shared" si="0"/>
        <v>St</v>
      </c>
      <c r="E21" s="724">
        <f t="shared" si="1"/>
        <v>0.39583333333333331</v>
      </c>
      <c r="F21" s="1079">
        <f t="shared" si="2"/>
        <v>0</v>
      </c>
      <c r="G21" s="724">
        <v>0.375</v>
      </c>
      <c r="H21" s="724">
        <f>H38</f>
        <v>4.1666666666666664E-2</v>
      </c>
      <c r="I21" s="724">
        <v>0.8125</v>
      </c>
      <c r="J21" s="654"/>
      <c r="K21" s="657"/>
      <c r="L21" s="654"/>
      <c r="M21" s="657"/>
      <c r="N21" s="654"/>
      <c r="O21" s="657"/>
      <c r="P21" s="714"/>
      <c r="Q21" s="1083">
        <f>W3</f>
        <v>3020</v>
      </c>
      <c r="R21" s="1088">
        <v>0</v>
      </c>
      <c r="S21" s="1001"/>
      <c r="T21" s="1001"/>
      <c r="U21" s="1008"/>
      <c r="V21" s="1001"/>
      <c r="W21" s="1001"/>
      <c r="X21" s="642">
        <f t="shared" si="4"/>
        <v>3</v>
      </c>
    </row>
    <row r="22" spans="1:24" ht="18.75" customHeight="1" x14ac:dyDescent="0.25">
      <c r="A22" s="1290"/>
      <c r="B22" s="1291"/>
      <c r="C22" s="1080">
        <v>45127</v>
      </c>
      <c r="D22" s="657" t="str">
        <f t="shared" si="0"/>
        <v>Čt</v>
      </c>
      <c r="E22" s="724">
        <f t="shared" si="1"/>
        <v>0.39583333333333331</v>
      </c>
      <c r="F22" s="1079">
        <f t="shared" si="2"/>
        <v>0</v>
      </c>
      <c r="G22" s="724">
        <v>0.375</v>
      </c>
      <c r="H22" s="724">
        <f>H38</f>
        <v>4.1666666666666664E-2</v>
      </c>
      <c r="I22" s="724">
        <v>0.8125</v>
      </c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001"/>
      <c r="T22" s="1001"/>
      <c r="U22" s="1008"/>
      <c r="V22" s="1001"/>
      <c r="W22" s="1001"/>
      <c r="X22" s="642">
        <f t="shared" si="4"/>
        <v>4</v>
      </c>
    </row>
    <row r="23" spans="1:24" ht="18.75" customHeight="1" x14ac:dyDescent="0.25">
      <c r="A23" s="1290"/>
      <c r="B23" s="1291"/>
      <c r="C23" s="1080">
        <v>45128</v>
      </c>
      <c r="D23" s="657" t="str">
        <f t="shared" si="0"/>
        <v>Pá</v>
      </c>
      <c r="E23" s="724">
        <f t="shared" si="1"/>
        <v>0.375</v>
      </c>
      <c r="F23" s="1079">
        <f t="shared" si="2"/>
        <v>0</v>
      </c>
      <c r="G23" s="724">
        <v>0.41666666666666669</v>
      </c>
      <c r="H23" s="724">
        <f>H38</f>
        <v>4.1666666666666664E-2</v>
      </c>
      <c r="I23" s="724">
        <v>0.83333333333333337</v>
      </c>
      <c r="J23" s="654"/>
      <c r="K23" s="657"/>
      <c r="L23" s="654"/>
      <c r="M23" s="657"/>
      <c r="N23" s="654"/>
      <c r="O23" s="657"/>
      <c r="P23" s="714"/>
      <c r="Q23" s="1083">
        <v>0</v>
      </c>
      <c r="R23" s="1088">
        <v>0</v>
      </c>
      <c r="S23" s="1001"/>
      <c r="T23" s="1017"/>
      <c r="U23" s="718"/>
      <c r="V23" s="1001"/>
      <c r="W23" s="1001"/>
      <c r="X23" s="642">
        <f t="shared" si="4"/>
        <v>5</v>
      </c>
    </row>
    <row r="24" spans="1:24" ht="18.75" customHeight="1" x14ac:dyDescent="0.25">
      <c r="A24" s="1290"/>
      <c r="B24" s="1291"/>
      <c r="C24" s="1080">
        <v>45129</v>
      </c>
      <c r="D24" s="657" t="str">
        <f t="shared" si="0"/>
        <v>So</v>
      </c>
      <c r="E24" s="724">
        <f t="shared" si="1"/>
        <v>0.41666666666666663</v>
      </c>
      <c r="F24" s="1079">
        <f t="shared" si="2"/>
        <v>0</v>
      </c>
      <c r="G24" s="724">
        <v>0.41666666666666669</v>
      </c>
      <c r="H24" s="724">
        <f>H37</f>
        <v>2.0833333333333332E-2</v>
      </c>
      <c r="I24" s="724">
        <v>0.85416666666666663</v>
      </c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015">
        <f>S18-R25</f>
        <v>0</v>
      </c>
      <c r="T24" s="1018"/>
      <c r="U24" s="1015">
        <f>W18-Q27</f>
        <v>0</v>
      </c>
      <c r="V24" s="1001"/>
      <c r="W24" s="1001"/>
      <c r="X24" s="642">
        <f t="shared" si="4"/>
        <v>6</v>
      </c>
    </row>
    <row r="25" spans="1:24" ht="18.75" customHeight="1" x14ac:dyDescent="0.25">
      <c r="A25" s="1290"/>
      <c r="B25" s="1291"/>
      <c r="C25" s="1080">
        <v>45130</v>
      </c>
      <c r="D25" s="657" t="str">
        <f t="shared" si="0"/>
        <v>Ne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0</v>
      </c>
      <c r="R25" s="1088">
        <f>Q27-Q29</f>
        <v>0</v>
      </c>
      <c r="S25" s="1020"/>
      <c r="T25" s="1019"/>
      <c r="U25" s="1006"/>
      <c r="V25" s="1006"/>
      <c r="W25" s="1006"/>
      <c r="X25" s="642">
        <f t="shared" si="4"/>
        <v>7</v>
      </c>
    </row>
    <row r="26" spans="1:24" ht="18.75" customHeight="1" x14ac:dyDescent="0.25">
      <c r="A26" s="1289" t="s">
        <v>666</v>
      </c>
      <c r="B26" s="1292">
        <f>SUM(E26:E33)*24</f>
        <v>43.000000000000007</v>
      </c>
      <c r="C26" s="1080">
        <v>45131</v>
      </c>
      <c r="D26" s="657" t="str">
        <f t="shared" si="0"/>
        <v>Po</v>
      </c>
      <c r="E26" s="724">
        <f t="shared" si="1"/>
        <v>0.33333333333333337</v>
      </c>
      <c r="F26" s="1079">
        <f t="shared" si="2"/>
        <v>0</v>
      </c>
      <c r="G26" s="724">
        <v>0.45833333333333331</v>
      </c>
      <c r="H26" s="724">
        <f>H38</f>
        <v>4.1666666666666664E-2</v>
      </c>
      <c r="I26" s="724">
        <v>0.83333333333333337</v>
      </c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718"/>
      <c r="T26" s="718"/>
      <c r="U26" s="718"/>
      <c r="V26" s="718"/>
      <c r="W26" s="718"/>
      <c r="X26" s="642">
        <f t="shared" si="4"/>
        <v>1</v>
      </c>
    </row>
    <row r="27" spans="1:24" ht="18.75" customHeight="1" x14ac:dyDescent="0.25">
      <c r="A27" s="1289"/>
      <c r="B27" s="1292"/>
      <c r="C27" s="1080">
        <v>45132</v>
      </c>
      <c r="D27" s="657" t="str">
        <f t="shared" si="0"/>
        <v>Út</v>
      </c>
      <c r="E27" s="724">
        <f t="shared" si="1"/>
        <v>0.31250000000000006</v>
      </c>
      <c r="F27" s="1079">
        <f t="shared" si="2"/>
        <v>0</v>
      </c>
      <c r="G27" s="724">
        <v>0.54166666666666663</v>
      </c>
      <c r="H27" s="724">
        <f>H37</f>
        <v>2.0833333333333332E-2</v>
      </c>
      <c r="I27" s="724">
        <v>0.875</v>
      </c>
      <c r="J27" s="654"/>
      <c r="K27" s="657"/>
      <c r="L27" s="654"/>
      <c r="M27" s="657"/>
      <c r="N27" s="654"/>
      <c r="O27" s="657"/>
      <c r="P27" s="714"/>
      <c r="Q27" s="1083">
        <v>0</v>
      </c>
      <c r="R27" s="1088"/>
      <c r="S27" s="718"/>
      <c r="T27" s="718"/>
      <c r="U27" s="718"/>
      <c r="V27" s="718"/>
      <c r="W27" s="718"/>
      <c r="X27" s="642">
        <f t="shared" si="4"/>
        <v>2</v>
      </c>
    </row>
    <row r="28" spans="1:24" ht="18.75" customHeight="1" x14ac:dyDescent="0.25">
      <c r="A28" s="1289"/>
      <c r="B28" s="1292"/>
      <c r="C28" s="1080">
        <v>45133</v>
      </c>
      <c r="D28" s="657" t="str">
        <f t="shared" si="0"/>
        <v>St</v>
      </c>
      <c r="E28" s="724">
        <f t="shared" si="1"/>
        <v>0.33333333333333343</v>
      </c>
      <c r="F28" s="1079">
        <f t="shared" si="2"/>
        <v>0</v>
      </c>
      <c r="G28" s="724">
        <v>0.54166666666666663</v>
      </c>
      <c r="H28" s="724">
        <f>H37</f>
        <v>2.0833333333333332E-2</v>
      </c>
      <c r="I28" s="724">
        <v>0.89583333333333337</v>
      </c>
      <c r="J28" s="654"/>
      <c r="K28" s="657"/>
      <c r="L28" s="654"/>
      <c r="M28" s="657"/>
      <c r="N28" s="654"/>
      <c r="O28" s="657"/>
      <c r="P28" s="714"/>
      <c r="Q28" s="654" t="s">
        <v>373</v>
      </c>
      <c r="R28" s="1026"/>
      <c r="S28" s="718"/>
      <c r="T28" s="718"/>
      <c r="U28" s="718"/>
      <c r="V28" s="718"/>
      <c r="W28" s="718"/>
      <c r="X28" s="642">
        <f t="shared" si="4"/>
        <v>3</v>
      </c>
    </row>
    <row r="29" spans="1:24" ht="18.75" customHeight="1" x14ac:dyDescent="0.25">
      <c r="A29" s="1289"/>
      <c r="B29" s="1292"/>
      <c r="C29" s="1080">
        <v>45134</v>
      </c>
      <c r="D29" s="657" t="str">
        <f t="shared" si="0"/>
        <v>Čt</v>
      </c>
      <c r="E29" s="724">
        <f t="shared" si="1"/>
        <v>0.37500000000000006</v>
      </c>
      <c r="F29" s="1079">
        <f t="shared" si="2"/>
        <v>0</v>
      </c>
      <c r="G29" s="724">
        <v>0.54166666666666663</v>
      </c>
      <c r="H29" s="724">
        <f>H38</f>
        <v>4.1666666666666664E-2</v>
      </c>
      <c r="I29" s="724">
        <v>0.95833333333333337</v>
      </c>
      <c r="J29" s="654"/>
      <c r="K29" s="657"/>
      <c r="L29" s="654"/>
      <c r="M29" s="657"/>
      <c r="N29" s="654"/>
      <c r="O29" s="657"/>
      <c r="P29" s="714"/>
      <c r="Q29" s="1083">
        <f>'06hod23'!Q27</f>
        <v>0</v>
      </c>
      <c r="R29" s="1026"/>
      <c r="S29" s="718"/>
      <c r="T29" s="718"/>
      <c r="U29" s="718"/>
      <c r="V29" s="718"/>
      <c r="W29" s="718"/>
      <c r="X29" s="642">
        <f t="shared" si="4"/>
        <v>4</v>
      </c>
    </row>
    <row r="30" spans="1:24" ht="18.75" customHeight="1" x14ac:dyDescent="0.25">
      <c r="A30" s="1289"/>
      <c r="B30" s="1292"/>
      <c r="C30" s="1080">
        <v>45135</v>
      </c>
      <c r="D30" s="657" t="str">
        <f t="shared" si="0"/>
        <v>Pá</v>
      </c>
      <c r="E30" s="724">
        <f t="shared" si="1"/>
        <v>0.12499999999999994</v>
      </c>
      <c r="F30" s="1079">
        <f t="shared" si="2"/>
        <v>0</v>
      </c>
      <c r="G30" s="724">
        <v>0.41666666666666669</v>
      </c>
      <c r="H30" s="724"/>
      <c r="I30" s="724">
        <v>0.54166666666666663</v>
      </c>
      <c r="J30" s="654"/>
      <c r="K30" s="657"/>
      <c r="L30" s="654"/>
      <c r="M30" s="657"/>
      <c r="N30" s="654"/>
      <c r="O30" s="657"/>
      <c r="P30" s="714"/>
      <c r="Q30" s="1083"/>
      <c r="R30" s="1083"/>
      <c r="S30" s="718"/>
      <c r="T30" s="718"/>
      <c r="U30" s="718"/>
      <c r="V30" s="718"/>
      <c r="W30" s="718"/>
      <c r="X30" s="642">
        <f t="shared" si="4"/>
        <v>5</v>
      </c>
    </row>
    <row r="31" spans="1:24" ht="18.75" customHeight="1" x14ac:dyDescent="0.25">
      <c r="A31" s="1289"/>
      <c r="B31" s="1292"/>
      <c r="C31" s="1080">
        <v>45135</v>
      </c>
      <c r="D31" s="657" t="str">
        <f t="shared" si="0"/>
        <v>Pá</v>
      </c>
      <c r="E31" s="724">
        <f t="shared" si="1"/>
        <v>0.3125</v>
      </c>
      <c r="F31" s="1079">
        <f t="shared" si="2"/>
        <v>0</v>
      </c>
      <c r="G31" s="724">
        <v>0.58333333333333337</v>
      </c>
      <c r="H31" s="724"/>
      <c r="I31" s="724">
        <v>0.89583333333333337</v>
      </c>
      <c r="J31" s="654"/>
      <c r="K31" s="657"/>
      <c r="L31" s="654"/>
      <c r="M31" s="657"/>
      <c r="N31" s="654"/>
      <c r="O31" s="657"/>
      <c r="P31" s="714"/>
      <c r="Q31" s="918"/>
      <c r="R31" s="1091"/>
      <c r="S31" s="718"/>
      <c r="T31" s="718"/>
      <c r="U31" s="718"/>
      <c r="V31" s="718"/>
      <c r="W31" s="718"/>
      <c r="X31" s="642">
        <f t="shared" si="4"/>
        <v>5</v>
      </c>
    </row>
    <row r="32" spans="1:24" ht="18.75" customHeight="1" x14ac:dyDescent="0.25">
      <c r="A32" s="1289"/>
      <c r="B32" s="1292"/>
      <c r="C32" s="1080">
        <v>45136</v>
      </c>
      <c r="D32" s="657" t="str">
        <f t="shared" si="0"/>
        <v>So</v>
      </c>
      <c r="E32" s="724">
        <f t="shared" si="1"/>
        <v>0</v>
      </c>
      <c r="F32" s="1079">
        <f t="shared" si="2"/>
        <v>0</v>
      </c>
      <c r="G32" s="724"/>
      <c r="H32" s="724"/>
      <c r="I32" s="724"/>
      <c r="J32" s="654"/>
      <c r="K32" s="657"/>
      <c r="L32" s="654"/>
      <c r="M32" s="657"/>
      <c r="N32" s="654"/>
      <c r="O32" s="657"/>
      <c r="P32" s="714"/>
      <c r="Q32" s="654"/>
      <c r="R32" s="1026"/>
      <c r="S32" s="718"/>
      <c r="T32" s="718"/>
      <c r="U32" s="718"/>
      <c r="V32" s="718"/>
      <c r="W32" s="718"/>
      <c r="X32" s="642">
        <f t="shared" si="4"/>
        <v>6</v>
      </c>
    </row>
    <row r="33" spans="1:24" ht="18.75" customHeight="1" x14ac:dyDescent="0.25">
      <c r="A33" s="1289"/>
      <c r="B33" s="1292"/>
      <c r="C33" s="1080">
        <v>45137</v>
      </c>
      <c r="D33" s="657" t="str">
        <f t="shared" si="0"/>
        <v>Ne</v>
      </c>
      <c r="E33" s="724">
        <f>I33-G33-H33</f>
        <v>0</v>
      </c>
      <c r="F33" s="1079">
        <f t="shared" si="2"/>
        <v>0</v>
      </c>
      <c r="G33" s="724"/>
      <c r="H33" s="724"/>
      <c r="I33" s="724"/>
      <c r="J33" s="654"/>
      <c r="K33" s="657"/>
      <c r="L33" s="654"/>
      <c r="M33" s="657"/>
      <c r="N33" s="654"/>
      <c r="O33" s="657"/>
      <c r="P33" s="714"/>
      <c r="Q33" s="654"/>
      <c r="R33" s="1026"/>
      <c r="S33" s="718"/>
      <c r="T33" s="718"/>
      <c r="U33" s="718"/>
      <c r="V33" s="718"/>
      <c r="W33" s="718"/>
      <c r="X33" s="642">
        <f t="shared" si="4"/>
        <v>7</v>
      </c>
    </row>
    <row r="34" spans="1:24" ht="18.75" customHeight="1" x14ac:dyDescent="0.25">
      <c r="A34" s="1290" t="s">
        <v>661</v>
      </c>
      <c r="B34" s="1291">
        <f>SUM(Tabulka414256796242522292831333649535455[[#This Row],[HOD]])*24</f>
        <v>9.0000000000000018</v>
      </c>
      <c r="C34" s="1080">
        <v>45138</v>
      </c>
      <c r="D34" s="657" t="str">
        <f t="shared" si="0"/>
        <v>Po</v>
      </c>
      <c r="E34" s="724">
        <f>I34-G34-H34</f>
        <v>0.37500000000000006</v>
      </c>
      <c r="F34" s="1079">
        <f t="shared" si="2"/>
        <v>0</v>
      </c>
      <c r="G34" s="724">
        <v>0.54166666666666663</v>
      </c>
      <c r="H34" s="724">
        <f>H38</f>
        <v>4.1666666666666664E-2</v>
      </c>
      <c r="I34" s="724">
        <v>0.95833333333333337</v>
      </c>
      <c r="J34" s="654"/>
      <c r="K34" s="657"/>
      <c r="L34" s="654"/>
      <c r="M34" s="657"/>
      <c r="N34" s="654"/>
      <c r="O34" s="657"/>
      <c r="P34" s="714"/>
      <c r="Q34" s="654"/>
      <c r="R34" s="1026"/>
      <c r="S34" s="718"/>
      <c r="T34" s="718"/>
      <c r="U34" s="718"/>
      <c r="V34" s="718"/>
      <c r="W34" s="718"/>
      <c r="X34" s="642">
        <f>WEEKDAY(C34,2)</f>
        <v>1</v>
      </c>
    </row>
    <row r="35" spans="1:24" ht="18.75" customHeight="1" x14ac:dyDescent="0.25">
      <c r="A35" s="1290"/>
      <c r="B35" s="1291"/>
      <c r="C35" s="1080">
        <v>45139</v>
      </c>
      <c r="D35" s="657" t="str">
        <f t="shared" si="0"/>
        <v>Út</v>
      </c>
      <c r="E35" s="724">
        <f t="shared" si="1"/>
        <v>0</v>
      </c>
      <c r="F35" s="1079">
        <f t="shared" si="2"/>
        <v>0</v>
      </c>
      <c r="G35" s="724"/>
      <c r="H35" s="724"/>
      <c r="I35" s="724"/>
      <c r="J35" s="654"/>
      <c r="K35" s="657"/>
      <c r="L35" s="654"/>
      <c r="M35" s="657"/>
      <c r="N35" s="654"/>
      <c r="O35" s="657"/>
      <c r="P35" s="714"/>
      <c r="Q35" s="654"/>
      <c r="R35" s="1026"/>
      <c r="S35" s="718"/>
      <c r="T35" s="718"/>
      <c r="U35" s="718"/>
      <c r="V35" s="718"/>
      <c r="W35" s="718"/>
      <c r="X35" s="642">
        <f t="shared" ref="X35:X36" si="5">WEEKDAY(C35,2)</f>
        <v>2</v>
      </c>
    </row>
    <row r="36" spans="1:24" ht="19.5" customHeight="1" thickBot="1" x14ac:dyDescent="0.3">
      <c r="A36" s="1290"/>
      <c r="B36" s="1291"/>
      <c r="C36" s="1080">
        <v>45140</v>
      </c>
      <c r="D36" s="658" t="str">
        <f t="shared" si="0"/>
        <v>St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718"/>
      <c r="T36" s="718"/>
      <c r="U36" s="718"/>
      <c r="V36" s="718"/>
      <c r="W36" s="718"/>
      <c r="X36" s="642">
        <f t="shared" si="5"/>
        <v>3</v>
      </c>
    </row>
    <row r="37" spans="1:24" x14ac:dyDescent="0.25">
      <c r="H37" s="731">
        <f>TIME(0,30,0)</f>
        <v>2.0833333333333332E-2</v>
      </c>
      <c r="Q37" s="732">
        <f>SUM(E3:E11)</f>
        <v>2.6874999999999996</v>
      </c>
      <c r="R37" t="s">
        <v>315</v>
      </c>
    </row>
    <row r="38" spans="1:24" x14ac:dyDescent="0.25">
      <c r="H38" s="731">
        <f>TIME(1,0,0)</f>
        <v>4.1666666666666664E-2</v>
      </c>
      <c r="Q38" s="732">
        <f>SUM(E12:E34)</f>
        <v>6.416666666666667</v>
      </c>
      <c r="R38" t="s">
        <v>316</v>
      </c>
    </row>
    <row r="42" spans="1:24" x14ac:dyDescent="0.25">
      <c r="E42" s="731"/>
    </row>
  </sheetData>
  <mergeCells count="13">
    <mergeCell ref="B26:B33"/>
    <mergeCell ref="B34:B36"/>
    <mergeCell ref="A3:A4"/>
    <mergeCell ref="A5:A11"/>
    <mergeCell ref="A12:A18"/>
    <mergeCell ref="A19:A25"/>
    <mergeCell ref="A26:A33"/>
    <mergeCell ref="A34:A36"/>
    <mergeCell ref="C1:G1"/>
    <mergeCell ref="B3:B4"/>
    <mergeCell ref="B5:B11"/>
    <mergeCell ref="B12:B18"/>
    <mergeCell ref="B19:B25"/>
  </mergeCells>
  <pageMargins left="0.7" right="0.7" top="0.75" bottom="0.75" header="0.3" footer="0.3"/>
  <drawing r:id="rId1"/>
  <tableParts count="1">
    <tablePart r:id="rId2"/>
  </tableParts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2FF3E-72FA-5D4B-BCCB-7CC0288E8BB3}">
  <dimension ref="A1:X46"/>
  <sheetViews>
    <sheetView topLeftCell="Q1" zoomScaleNormal="60" zoomScaleSheetLayoutView="100" workbookViewId="0">
      <selection activeCell="U3" sqref="U3"/>
    </sheetView>
  </sheetViews>
  <sheetFormatPr defaultColWidth="8.5703125" defaultRowHeight="15" x14ac:dyDescent="0.25"/>
  <cols>
    <col min="1" max="1" width="8.5703125" bestFit="1" customWidth="1"/>
    <col min="2" max="2" width="9.140625" customWidth="1"/>
    <col min="3" max="3" width="11" bestFit="1" customWidth="1"/>
    <col min="4" max="4" width="7.42578125" bestFit="1" customWidth="1"/>
    <col min="5" max="5" width="12.8554687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8.7109375" bestFit="1" customWidth="1"/>
    <col min="21" max="21" width="18.140625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4" ht="21" x14ac:dyDescent="0.25">
      <c r="A1" s="1196"/>
      <c r="B1" s="1196"/>
    </row>
    <row r="2" spans="1:24" ht="15.75" thickBot="1" x14ac:dyDescent="0.3">
      <c r="A2" s="1193"/>
      <c r="B2" s="1193"/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11</v>
      </c>
      <c r="U2" s="650" t="s">
        <v>12</v>
      </c>
      <c r="V2" s="650" t="s">
        <v>13</v>
      </c>
      <c r="W2" s="650" t="s">
        <v>14</v>
      </c>
    </row>
    <row r="3" spans="1:24" ht="15.75" thickBot="1" x14ac:dyDescent="0.3">
      <c r="A3" s="1289" t="s">
        <v>661</v>
      </c>
      <c r="B3" s="1292"/>
      <c r="C3" s="1080">
        <v>45139</v>
      </c>
      <c r="D3" s="656" t="str">
        <f t="shared" ref="D3:D36" si="0">CHOOSE(WEEKDAY(X3),"Po","Út","St","Čt","Pá","So","Ne")</f>
        <v>Út</v>
      </c>
      <c r="E3" s="724">
        <f t="shared" ref="E3:E36" si="1">I3-G3-H3</f>
        <v>0.35416666666666669</v>
      </c>
      <c r="F3" s="1079">
        <f t="shared" ref="F3:F36" si="2">(P3*E3)*24</f>
        <v>0</v>
      </c>
      <c r="G3" s="724">
        <v>0.375</v>
      </c>
      <c r="H3" s="724">
        <f>H41</f>
        <v>2.0833333333333332E-2</v>
      </c>
      <c r="I3" s="724">
        <v>0.75</v>
      </c>
      <c r="J3" s="654"/>
      <c r="K3" s="657"/>
      <c r="L3" s="654"/>
      <c r="M3" s="656"/>
      <c r="N3" s="654"/>
      <c r="O3" s="657"/>
      <c r="P3" s="713"/>
      <c r="Q3" s="1081">
        <f>(Q5+Q7)</f>
        <v>74</v>
      </c>
      <c r="R3" s="656">
        <f>R5+R7</f>
        <v>0</v>
      </c>
      <c r="S3" s="853">
        <f>'03hod24'!Q6</f>
        <v>0</v>
      </c>
      <c r="T3" s="644"/>
      <c r="U3" s="644" t="str">
        <f>'07hod23'!U6</f>
        <v>Výplata za Červenec</v>
      </c>
      <c r="V3" s="875" t="str">
        <f>'07hod23'!V6</f>
        <v>xx.08.2023</v>
      </c>
      <c r="W3" s="722">
        <f>Q7*20</f>
        <v>680</v>
      </c>
      <c r="X3" s="643">
        <f t="shared" ref="X3:X36" si="3">WEEKDAY(C3,2)</f>
        <v>2</v>
      </c>
    </row>
    <row r="4" spans="1:24" x14ac:dyDescent="0.25">
      <c r="A4" s="1289"/>
      <c r="B4" s="1292"/>
      <c r="C4" s="1080">
        <v>45140</v>
      </c>
      <c r="D4" s="657" t="str">
        <f t="shared" si="0"/>
        <v>St</v>
      </c>
      <c r="E4" s="724">
        <f t="shared" si="1"/>
        <v>0.35416666666666669</v>
      </c>
      <c r="F4" s="1079">
        <f t="shared" si="2"/>
        <v>0</v>
      </c>
      <c r="G4" s="724">
        <v>0.54166666666666663</v>
      </c>
      <c r="H4" s="724">
        <f>H41</f>
        <v>2.0833333333333332E-2</v>
      </c>
      <c r="I4" s="724">
        <v>0.91666666666666663</v>
      </c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 t="s">
        <v>48</v>
      </c>
      <c r="U4" s="611" t="s">
        <v>48</v>
      </c>
      <c r="V4" s="874"/>
      <c r="W4" s="1178"/>
      <c r="X4" s="643">
        <f t="shared" si="3"/>
        <v>3</v>
      </c>
    </row>
    <row r="5" spans="1:24" x14ac:dyDescent="0.25">
      <c r="A5" s="1289"/>
      <c r="B5" s="1292"/>
      <c r="C5" s="1080">
        <v>45141</v>
      </c>
      <c r="D5" s="657" t="str">
        <f t="shared" si="0"/>
        <v>Čt</v>
      </c>
      <c r="E5" s="724">
        <f t="shared" si="1"/>
        <v>0.47916666666666663</v>
      </c>
      <c r="F5" s="1079">
        <f t="shared" si="2"/>
        <v>0</v>
      </c>
      <c r="G5" s="724">
        <v>0.41666666666666669</v>
      </c>
      <c r="H5" s="724">
        <f>H41</f>
        <v>2.0833333333333332E-2</v>
      </c>
      <c r="I5" s="724">
        <v>0.91666666666666663</v>
      </c>
      <c r="J5" s="654"/>
      <c r="K5" s="657"/>
      <c r="L5" s="654"/>
      <c r="M5" s="657"/>
      <c r="N5" s="654"/>
      <c r="O5" s="657"/>
      <c r="P5" s="714"/>
      <c r="Q5" s="1082">
        <v>40</v>
      </c>
      <c r="R5" s="657">
        <v>0</v>
      </c>
      <c r="S5" s="738">
        <v>10514</v>
      </c>
      <c r="T5" s="611"/>
      <c r="U5" s="611" t="s">
        <v>575</v>
      </c>
      <c r="V5" s="646"/>
      <c r="W5" s="1178"/>
      <c r="X5" s="643">
        <f t="shared" si="3"/>
        <v>4</v>
      </c>
    </row>
    <row r="6" spans="1:24" x14ac:dyDescent="0.25">
      <c r="A6" s="1289"/>
      <c r="B6" s="1292"/>
      <c r="C6" s="1080">
        <v>45142</v>
      </c>
      <c r="D6" s="657" t="str">
        <f t="shared" si="0"/>
        <v>Pá</v>
      </c>
      <c r="E6" s="724">
        <f t="shared" si="1"/>
        <v>0.22916666666666666</v>
      </c>
      <c r="F6" s="1079">
        <f t="shared" si="2"/>
        <v>0</v>
      </c>
      <c r="G6" s="724">
        <v>0.54166666666666663</v>
      </c>
      <c r="H6" s="724">
        <f>H41</f>
        <v>2.0833333333333332E-2</v>
      </c>
      <c r="I6" s="724">
        <v>0.79166666666666663</v>
      </c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/>
      <c r="U6" s="611" t="s">
        <v>424</v>
      </c>
      <c r="V6" s="646" t="s">
        <v>654</v>
      </c>
      <c r="W6" s="1178"/>
      <c r="X6" s="643">
        <f t="shared" si="3"/>
        <v>5</v>
      </c>
    </row>
    <row r="7" spans="1:24" ht="15.75" thickBot="1" x14ac:dyDescent="0.3">
      <c r="A7" s="1289"/>
      <c r="B7" s="1292"/>
      <c r="C7" s="1080">
        <v>45143</v>
      </c>
      <c r="D7" s="657" t="str">
        <f t="shared" si="0"/>
        <v>So</v>
      </c>
      <c r="E7" s="724">
        <f t="shared" si="1"/>
        <v>0</v>
      </c>
      <c r="F7" s="1079">
        <f t="shared" si="2"/>
        <v>0</v>
      </c>
      <c r="G7" s="724"/>
      <c r="H7" s="724"/>
      <c r="I7" s="724"/>
      <c r="J7" s="654"/>
      <c r="K7" s="657"/>
      <c r="L7" s="654"/>
      <c r="M7" s="657"/>
      <c r="N7" s="654"/>
      <c r="O7" s="657"/>
      <c r="P7" s="714"/>
      <c r="Q7" s="1082">
        <v>34</v>
      </c>
      <c r="R7" s="657">
        <v>0</v>
      </c>
      <c r="S7" s="712" t="s">
        <v>134</v>
      </c>
      <c r="T7" s="647"/>
      <c r="U7" s="647" t="s">
        <v>48</v>
      </c>
      <c r="V7" s="648"/>
      <c r="W7" s="1178"/>
      <c r="X7" s="643">
        <f t="shared" si="3"/>
        <v>6</v>
      </c>
    </row>
    <row r="8" spans="1:24" x14ac:dyDescent="0.25">
      <c r="A8" s="1289"/>
      <c r="B8" s="1292"/>
      <c r="C8" s="1080">
        <v>45144</v>
      </c>
      <c r="D8" s="657" t="str">
        <f t="shared" si="0"/>
        <v>Ne</v>
      </c>
      <c r="E8" s="724">
        <f t="shared" si="1"/>
        <v>0</v>
      </c>
      <c r="F8" s="1079">
        <f t="shared" si="2"/>
        <v>0</v>
      </c>
      <c r="G8" s="724"/>
      <c r="H8" s="724"/>
      <c r="I8" s="724"/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10514</v>
      </c>
      <c r="T8" s="1178"/>
      <c r="U8" s="1178"/>
      <c r="V8" s="1178"/>
      <c r="W8" s="1178"/>
      <c r="X8" s="643">
        <f t="shared" si="3"/>
        <v>7</v>
      </c>
    </row>
    <row r="9" spans="1:24" x14ac:dyDescent="0.25">
      <c r="A9" s="1290" t="s">
        <v>672</v>
      </c>
      <c r="B9" s="1291"/>
      <c r="C9" s="1080">
        <v>45145</v>
      </c>
      <c r="D9" s="657" t="str">
        <f t="shared" si="0"/>
        <v>Po</v>
      </c>
      <c r="E9" s="724">
        <f t="shared" si="1"/>
        <v>0</v>
      </c>
      <c r="F9" s="1079">
        <f t="shared" si="2"/>
        <v>0</v>
      </c>
      <c r="G9" s="724"/>
      <c r="H9" s="724"/>
      <c r="I9" s="724"/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1178"/>
      <c r="U9" s="1178"/>
      <c r="V9" s="1178"/>
      <c r="W9" s="1178"/>
      <c r="X9" s="643">
        <f t="shared" si="3"/>
        <v>1</v>
      </c>
    </row>
    <row r="10" spans="1:24" x14ac:dyDescent="0.25">
      <c r="A10" s="1290"/>
      <c r="B10" s="1291"/>
      <c r="C10" s="1080">
        <v>45146</v>
      </c>
      <c r="D10" s="657" t="str">
        <f t="shared" si="0"/>
        <v>Út</v>
      </c>
      <c r="E10" s="724">
        <f t="shared" si="1"/>
        <v>0</v>
      </c>
      <c r="F10" s="1079">
        <f t="shared" si="2"/>
        <v>0</v>
      </c>
      <c r="G10" s="724"/>
      <c r="H10" s="724"/>
      <c r="I10" s="724"/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10514</v>
      </c>
      <c r="T10" s="1178"/>
      <c r="U10" s="1178"/>
      <c r="V10" s="1178"/>
      <c r="W10" s="1178"/>
      <c r="X10" s="643">
        <f t="shared" si="3"/>
        <v>2</v>
      </c>
    </row>
    <row r="11" spans="1:24" x14ac:dyDescent="0.25">
      <c r="A11" s="1290"/>
      <c r="B11" s="1291"/>
      <c r="C11" s="1080">
        <v>45147</v>
      </c>
      <c r="D11" s="657" t="str">
        <f t="shared" si="0"/>
        <v>St</v>
      </c>
      <c r="E11" s="724">
        <f t="shared" si="1"/>
        <v>0</v>
      </c>
      <c r="F11" s="1079">
        <f t="shared" si="2"/>
        <v>0</v>
      </c>
      <c r="G11" s="724"/>
      <c r="H11" s="724"/>
      <c r="I11" s="724"/>
      <c r="J11" s="654"/>
      <c r="K11" s="657"/>
      <c r="L11" s="654"/>
      <c r="M11" s="657"/>
      <c r="N11" s="654"/>
      <c r="O11" s="657"/>
      <c r="P11" s="714"/>
      <c r="Q11" s="1083">
        <f>(Q3*400)+W3</f>
        <v>30280</v>
      </c>
      <c r="R11" s="1088">
        <f>SUM(R3*400)</f>
        <v>0</v>
      </c>
      <c r="S11" s="719"/>
      <c r="T11" s="1178"/>
      <c r="U11" s="1178"/>
      <c r="V11" s="1178"/>
      <c r="W11" s="1178"/>
      <c r="X11" s="643">
        <f t="shared" si="3"/>
        <v>3</v>
      </c>
    </row>
    <row r="12" spans="1:24" x14ac:dyDescent="0.25">
      <c r="A12" s="1290"/>
      <c r="B12" s="1291"/>
      <c r="C12" s="1080">
        <v>45148</v>
      </c>
      <c r="D12" s="657" t="str">
        <f t="shared" si="0"/>
        <v>Čt</v>
      </c>
      <c r="E12" s="724">
        <f t="shared" si="1"/>
        <v>0</v>
      </c>
      <c r="F12" s="1079">
        <f t="shared" si="2"/>
        <v>0</v>
      </c>
      <c r="G12" s="724"/>
      <c r="H12" s="724"/>
      <c r="I12" s="724"/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1178"/>
      <c r="T12" s="1178"/>
      <c r="U12" s="1178"/>
      <c r="V12" s="1178"/>
      <c r="W12" s="1178"/>
      <c r="X12" s="643">
        <f t="shared" si="3"/>
        <v>4</v>
      </c>
    </row>
    <row r="13" spans="1:24" x14ac:dyDescent="0.25">
      <c r="A13" s="1290"/>
      <c r="B13" s="1291"/>
      <c r="C13" s="1080">
        <v>45149</v>
      </c>
      <c r="D13" s="657" t="str">
        <f t="shared" si="0"/>
        <v>Pá</v>
      </c>
      <c r="E13" s="724">
        <f t="shared" si="1"/>
        <v>0</v>
      </c>
      <c r="F13" s="1079">
        <f t="shared" si="2"/>
        <v>0</v>
      </c>
      <c r="G13" s="724"/>
      <c r="H13" s="724"/>
      <c r="I13" s="724"/>
      <c r="J13" s="654"/>
      <c r="K13" s="657"/>
      <c r="L13" s="654"/>
      <c r="M13" s="657"/>
      <c r="N13" s="654"/>
      <c r="O13" s="657"/>
      <c r="P13" s="714"/>
      <c r="Q13" s="1083">
        <f>(Q11+Q21+Q19-Q23)-Q15-R25</f>
        <v>33684.053599999999</v>
      </c>
      <c r="R13" s="1088">
        <f>(R11+R19+R21-R23)-R15-R25</f>
        <v>0</v>
      </c>
      <c r="S13" s="1178"/>
      <c r="T13" s="1178"/>
      <c r="U13" s="1178"/>
      <c r="V13" s="1178"/>
      <c r="W13" s="1178"/>
      <c r="X13" s="643">
        <f t="shared" si="3"/>
        <v>5</v>
      </c>
    </row>
    <row r="14" spans="1:24" x14ac:dyDescent="0.25">
      <c r="A14" s="1290"/>
      <c r="B14" s="1291"/>
      <c r="C14" s="1080">
        <v>45150</v>
      </c>
      <c r="D14" s="657" t="str">
        <f t="shared" si="0"/>
        <v>So</v>
      </c>
      <c r="E14" s="724">
        <f t="shared" si="1"/>
        <v>0</v>
      </c>
      <c r="F14" s="1079">
        <f t="shared" si="2"/>
        <v>0</v>
      </c>
      <c r="G14" s="724"/>
      <c r="H14" s="724"/>
      <c r="I14" s="724"/>
      <c r="J14" s="654"/>
      <c r="K14" s="657"/>
      <c r="L14" s="654"/>
      <c r="M14" s="657"/>
      <c r="N14" s="654"/>
      <c r="O14" s="657"/>
      <c r="P14" s="714"/>
      <c r="Q14" s="654" t="s">
        <v>26</v>
      </c>
      <c r="R14" s="1088" t="s">
        <v>26</v>
      </c>
      <c r="S14" s="1178"/>
      <c r="T14" s="1178"/>
      <c r="U14" s="1178"/>
      <c r="V14" s="1178"/>
      <c r="W14" s="1178"/>
      <c r="X14" s="643">
        <f t="shared" si="3"/>
        <v>6</v>
      </c>
    </row>
    <row r="15" spans="1:24" x14ac:dyDescent="0.25">
      <c r="A15" s="1290"/>
      <c r="B15" s="1291"/>
      <c r="C15" s="1080">
        <v>45151</v>
      </c>
      <c r="D15" s="657" t="str">
        <f t="shared" si="0"/>
        <v>Ne</v>
      </c>
      <c r="E15" s="724">
        <f t="shared" si="1"/>
        <v>0</v>
      </c>
      <c r="F15" s="1079">
        <f t="shared" si="2"/>
        <v>0</v>
      </c>
      <c r="G15" s="724"/>
      <c r="H15" s="724"/>
      <c r="I15" s="724"/>
      <c r="J15" s="654"/>
      <c r="K15" s="657"/>
      <c r="L15" s="654"/>
      <c r="M15" s="657"/>
      <c r="N15" s="654"/>
      <c r="O15" s="657"/>
      <c r="P15" s="714"/>
      <c r="Q15" s="1083">
        <f>(Q17*24.08)</f>
        <v>10843.946400000001</v>
      </c>
      <c r="R15" s="1088">
        <f>(R17*25.53)</f>
        <v>0</v>
      </c>
      <c r="S15" s="923" t="s">
        <v>458</v>
      </c>
      <c r="T15" s="1004">
        <f>R15+R23-R19</f>
        <v>0</v>
      </c>
      <c r="U15" s="1007"/>
      <c r="V15" s="923" t="s">
        <v>462</v>
      </c>
      <c r="W15" s="1004">
        <f>R15+R23</f>
        <v>0</v>
      </c>
      <c r="X15" s="643">
        <f t="shared" si="3"/>
        <v>7</v>
      </c>
    </row>
    <row r="16" spans="1:24" x14ac:dyDescent="0.25">
      <c r="A16" s="1289" t="s">
        <v>673</v>
      </c>
      <c r="B16" s="1292"/>
      <c r="C16" s="1080">
        <v>45152</v>
      </c>
      <c r="D16" s="657" t="str">
        <f t="shared" si="0"/>
        <v>Po</v>
      </c>
      <c r="E16" s="724">
        <f t="shared" si="1"/>
        <v>0</v>
      </c>
      <c r="F16" s="1079">
        <f t="shared" si="2"/>
        <v>0</v>
      </c>
      <c r="G16" s="724"/>
      <c r="H16" s="724"/>
      <c r="I16" s="724"/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179" t="s">
        <v>459</v>
      </c>
      <c r="T16" s="1180">
        <f>R11</f>
        <v>0</v>
      </c>
      <c r="U16" s="1008"/>
      <c r="V16" s="1179" t="s">
        <v>463</v>
      </c>
      <c r="W16" s="1180">
        <f>R11+R19+R21+Q29</f>
        <v>0</v>
      </c>
      <c r="X16" s="643">
        <f t="shared" si="3"/>
        <v>1</v>
      </c>
    </row>
    <row r="17" spans="1:24" x14ac:dyDescent="0.25">
      <c r="A17" s="1289"/>
      <c r="B17" s="1292"/>
      <c r="C17" s="1080">
        <v>45153</v>
      </c>
      <c r="D17" s="657" t="str">
        <f t="shared" si="0"/>
        <v>Út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154">
        <f>'04cash'!O44</f>
        <v>450.33000000000004</v>
      </c>
      <c r="R17" s="1089">
        <v>0</v>
      </c>
      <c r="S17" s="1179"/>
      <c r="T17" s="1181">
        <f>T16-T15</f>
        <v>0</v>
      </c>
      <c r="U17" s="1008"/>
      <c r="V17" s="1179" t="s">
        <v>513</v>
      </c>
      <c r="W17" s="1180">
        <f>W16-W15</f>
        <v>0</v>
      </c>
      <c r="X17" s="643">
        <f t="shared" si="3"/>
        <v>2</v>
      </c>
    </row>
    <row r="18" spans="1:24" x14ac:dyDescent="0.25">
      <c r="A18" s="1289"/>
      <c r="B18" s="1292"/>
      <c r="C18" s="1080">
        <v>45154</v>
      </c>
      <c r="D18" s="657" t="str">
        <f t="shared" si="0"/>
        <v>St</v>
      </c>
      <c r="E18" s="724">
        <f t="shared" si="1"/>
        <v>0</v>
      </c>
      <c r="F18" s="1079">
        <f t="shared" si="2"/>
        <v>0</v>
      </c>
      <c r="G18" s="724"/>
      <c r="H18" s="724"/>
      <c r="I18" s="724"/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180">
        <f>T17-S6-S8</f>
        <v>-10514</v>
      </c>
      <c r="T18" s="1179"/>
      <c r="U18" s="1009"/>
      <c r="V18" s="1179" t="s">
        <v>514</v>
      </c>
      <c r="W18" s="1180">
        <f>W17-S6-S8</f>
        <v>-10514</v>
      </c>
      <c r="X18" s="643">
        <f t="shared" si="3"/>
        <v>3</v>
      </c>
    </row>
    <row r="19" spans="1:24" x14ac:dyDescent="0.25">
      <c r="A19" s="1289"/>
      <c r="B19" s="1292"/>
      <c r="C19" s="1080">
        <v>45155</v>
      </c>
      <c r="D19" s="657" t="str">
        <f t="shared" si="0"/>
        <v>Čt</v>
      </c>
      <c r="E19" s="724">
        <f t="shared" si="1"/>
        <v>0</v>
      </c>
      <c r="F19" s="1079">
        <f t="shared" si="2"/>
        <v>0</v>
      </c>
      <c r="G19" s="724"/>
      <c r="H19" s="724"/>
      <c r="I19" s="724"/>
      <c r="J19" s="654"/>
      <c r="K19" s="657"/>
      <c r="L19" s="654"/>
      <c r="M19" s="657"/>
      <c r="N19" s="654"/>
      <c r="O19" s="657"/>
      <c r="P19" s="714"/>
      <c r="Q19" s="1083">
        <v>3522</v>
      </c>
      <c r="R19" s="1088"/>
      <c r="S19" s="1179"/>
      <c r="T19" s="1179"/>
      <c r="U19" s="1008"/>
      <c r="V19" s="1179"/>
      <c r="W19" s="1179"/>
      <c r="X19" s="643">
        <f t="shared" si="3"/>
        <v>4</v>
      </c>
    </row>
    <row r="20" spans="1:24" x14ac:dyDescent="0.25">
      <c r="A20" s="1289"/>
      <c r="B20" s="1292"/>
      <c r="C20" s="1080">
        <v>45156</v>
      </c>
      <c r="D20" s="657" t="str">
        <f t="shared" si="0"/>
        <v>Pá</v>
      </c>
      <c r="E20" s="724">
        <f t="shared" si="1"/>
        <v>0</v>
      </c>
      <c r="F20" s="1079">
        <f t="shared" si="2"/>
        <v>0</v>
      </c>
      <c r="G20" s="724"/>
      <c r="H20" s="724"/>
      <c r="I20" s="724"/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179"/>
      <c r="T20" s="1179"/>
      <c r="U20" s="1008"/>
      <c r="V20" s="1179"/>
      <c r="W20" s="1179"/>
      <c r="X20" s="643">
        <f t="shared" si="3"/>
        <v>5</v>
      </c>
    </row>
    <row r="21" spans="1:24" x14ac:dyDescent="0.25">
      <c r="A21" s="1289"/>
      <c r="B21" s="1292"/>
      <c r="C21" s="1080">
        <v>45157</v>
      </c>
      <c r="D21" s="657" t="str">
        <f t="shared" si="0"/>
        <v>So</v>
      </c>
      <c r="E21" s="724">
        <f t="shared" si="1"/>
        <v>0</v>
      </c>
      <c r="F21" s="1079">
        <f t="shared" si="2"/>
        <v>0</v>
      </c>
      <c r="G21" s="724"/>
      <c r="H21" s="724"/>
      <c r="I21" s="724"/>
      <c r="J21" s="654"/>
      <c r="K21" s="657"/>
      <c r="L21" s="654"/>
      <c r="M21" s="657"/>
      <c r="N21" s="654"/>
      <c r="O21" s="657"/>
      <c r="P21" s="714"/>
      <c r="Q21" s="1083">
        <v>10726</v>
      </c>
      <c r="R21" s="1088">
        <v>0</v>
      </c>
      <c r="S21" s="1179"/>
      <c r="T21" s="1179"/>
      <c r="U21" s="1008"/>
      <c r="V21" s="1179"/>
      <c r="W21" s="1179"/>
      <c r="X21" s="643">
        <f t="shared" si="3"/>
        <v>6</v>
      </c>
    </row>
    <row r="22" spans="1:24" x14ac:dyDescent="0.25">
      <c r="A22" s="1289"/>
      <c r="B22" s="1292"/>
      <c r="C22" s="1080">
        <v>45158</v>
      </c>
      <c r="D22" s="657" t="str">
        <f t="shared" si="0"/>
        <v>Ne</v>
      </c>
      <c r="E22" s="724">
        <f t="shared" si="1"/>
        <v>0</v>
      </c>
      <c r="F22" s="1079">
        <f t="shared" si="2"/>
        <v>0</v>
      </c>
      <c r="G22" s="724"/>
      <c r="H22" s="724"/>
      <c r="I22" s="724"/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179"/>
      <c r="T22" s="1179"/>
      <c r="U22" s="1008"/>
      <c r="V22" s="1179"/>
      <c r="W22" s="1179"/>
      <c r="X22" s="643">
        <f t="shared" si="3"/>
        <v>7</v>
      </c>
    </row>
    <row r="23" spans="1:24" x14ac:dyDescent="0.25">
      <c r="A23" s="1290" t="s">
        <v>674</v>
      </c>
      <c r="B23" s="1291"/>
      <c r="C23" s="1080">
        <v>45159</v>
      </c>
      <c r="D23" s="657" t="str">
        <f t="shared" si="0"/>
        <v>Po</v>
      </c>
      <c r="E23" s="724">
        <f t="shared" si="1"/>
        <v>0</v>
      </c>
      <c r="F23" s="1079">
        <f t="shared" si="2"/>
        <v>0</v>
      </c>
      <c r="G23" s="724"/>
      <c r="H23" s="724"/>
      <c r="I23" s="724"/>
      <c r="J23" s="654"/>
      <c r="K23" s="657"/>
      <c r="L23" s="654"/>
      <c r="M23" s="657"/>
      <c r="N23" s="654"/>
      <c r="O23" s="657"/>
      <c r="P23" s="714"/>
      <c r="Q23" s="1083">
        <v>0</v>
      </c>
      <c r="R23" s="1088">
        <v>0</v>
      </c>
      <c r="S23" s="1179"/>
      <c r="T23" s="1017"/>
      <c r="U23" s="1178"/>
      <c r="V23" s="1179"/>
      <c r="W23" s="1179"/>
      <c r="X23" s="643">
        <f t="shared" si="3"/>
        <v>1</v>
      </c>
    </row>
    <row r="24" spans="1:24" x14ac:dyDescent="0.25">
      <c r="A24" s="1290"/>
      <c r="B24" s="1291"/>
      <c r="C24" s="1080">
        <v>45160</v>
      </c>
      <c r="D24" s="657" t="str">
        <f t="shared" si="0"/>
        <v>Út</v>
      </c>
      <c r="E24" s="724">
        <f t="shared" si="1"/>
        <v>0</v>
      </c>
      <c r="F24" s="1079">
        <f t="shared" si="2"/>
        <v>0</v>
      </c>
      <c r="G24" s="724"/>
      <c r="H24" s="724"/>
      <c r="I24" s="724"/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182">
        <f>S18-R25</f>
        <v>-10514</v>
      </c>
      <c r="T24" s="1018"/>
      <c r="U24" s="1182">
        <f>W18-Q27</f>
        <v>-10514</v>
      </c>
      <c r="V24" s="1179"/>
      <c r="W24" s="1179"/>
      <c r="X24" s="643">
        <f t="shared" si="3"/>
        <v>2</v>
      </c>
    </row>
    <row r="25" spans="1:24" x14ac:dyDescent="0.25">
      <c r="A25" s="1290"/>
      <c r="B25" s="1291"/>
      <c r="C25" s="1080">
        <v>45161</v>
      </c>
      <c r="D25" s="657" t="str">
        <f t="shared" si="0"/>
        <v>St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0</v>
      </c>
      <c r="R25" s="1088">
        <f>Q27-Q29</f>
        <v>0</v>
      </c>
      <c r="S25" s="1020"/>
      <c r="T25" s="1019"/>
      <c r="U25" s="1006"/>
      <c r="V25" s="1006"/>
      <c r="W25" s="1006"/>
      <c r="X25" s="643">
        <f t="shared" si="3"/>
        <v>3</v>
      </c>
    </row>
    <row r="26" spans="1:24" x14ac:dyDescent="0.25">
      <c r="A26" s="1290"/>
      <c r="B26" s="1291"/>
      <c r="C26" s="1080">
        <v>45162</v>
      </c>
      <c r="D26" s="657" t="str">
        <f t="shared" si="0"/>
        <v>Čt</v>
      </c>
      <c r="E26" s="724">
        <f t="shared" si="1"/>
        <v>0</v>
      </c>
      <c r="F26" s="1079">
        <f t="shared" si="2"/>
        <v>0</v>
      </c>
      <c r="G26" s="724"/>
      <c r="H26" s="724"/>
      <c r="I26" s="724"/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1178"/>
      <c r="T26" s="1178"/>
      <c r="U26" s="1178"/>
      <c r="V26" s="1178"/>
      <c r="W26" s="1178"/>
      <c r="X26" s="643">
        <f t="shared" si="3"/>
        <v>4</v>
      </c>
    </row>
    <row r="27" spans="1:24" x14ac:dyDescent="0.25">
      <c r="A27" s="1290"/>
      <c r="B27" s="1291"/>
      <c r="C27" s="1080">
        <v>45163</v>
      </c>
      <c r="D27" s="657" t="str">
        <f t="shared" si="0"/>
        <v>Pá</v>
      </c>
      <c r="E27" s="724">
        <f t="shared" si="1"/>
        <v>0</v>
      </c>
      <c r="F27" s="1079">
        <f t="shared" si="2"/>
        <v>0</v>
      </c>
      <c r="G27" s="724"/>
      <c r="H27" s="724"/>
      <c r="I27" s="724"/>
      <c r="J27" s="654"/>
      <c r="K27" s="657"/>
      <c r="L27" s="654"/>
      <c r="M27" s="657"/>
      <c r="N27" s="654"/>
      <c r="O27" s="657"/>
      <c r="P27" s="714"/>
      <c r="Q27" s="1083">
        <v>0</v>
      </c>
      <c r="R27" s="1088"/>
      <c r="S27" s="1178"/>
      <c r="T27" s="1178"/>
      <c r="U27" s="1178"/>
      <c r="V27" s="1178"/>
      <c r="W27" s="1178"/>
      <c r="X27" s="643">
        <f t="shared" si="3"/>
        <v>5</v>
      </c>
    </row>
    <row r="28" spans="1:24" x14ac:dyDescent="0.25">
      <c r="A28" s="1290"/>
      <c r="B28" s="1291"/>
      <c r="C28" s="1080">
        <v>45164</v>
      </c>
      <c r="D28" s="657" t="str">
        <f t="shared" si="0"/>
        <v>So</v>
      </c>
      <c r="E28" s="724">
        <f t="shared" si="1"/>
        <v>0</v>
      </c>
      <c r="F28" s="1079">
        <f t="shared" si="2"/>
        <v>0</v>
      </c>
      <c r="G28" s="724"/>
      <c r="H28" s="724"/>
      <c r="I28" s="724"/>
      <c r="J28" s="654"/>
      <c r="K28" s="657"/>
      <c r="L28" s="654"/>
      <c r="M28" s="657"/>
      <c r="N28" s="654"/>
      <c r="O28" s="657"/>
      <c r="P28" s="714"/>
      <c r="Q28" s="654" t="s">
        <v>373</v>
      </c>
      <c r="R28" s="1026"/>
      <c r="S28" s="1178"/>
      <c r="T28" s="1178"/>
      <c r="U28" s="1178"/>
      <c r="V28" s="1178"/>
      <c r="W28" s="1178"/>
      <c r="X28" s="643">
        <f t="shared" si="3"/>
        <v>6</v>
      </c>
    </row>
    <row r="29" spans="1:24" x14ac:dyDescent="0.25">
      <c r="A29" s="1290"/>
      <c r="B29" s="1291"/>
      <c r="C29" s="1080">
        <v>45165</v>
      </c>
      <c r="D29" s="657" t="str">
        <f t="shared" si="0"/>
        <v>Ne</v>
      </c>
      <c r="E29" s="724">
        <f t="shared" si="1"/>
        <v>0</v>
      </c>
      <c r="F29" s="1079">
        <f t="shared" si="2"/>
        <v>0</v>
      </c>
      <c r="G29" s="724"/>
      <c r="H29" s="724"/>
      <c r="I29" s="724"/>
      <c r="J29" s="654"/>
      <c r="K29" s="657"/>
      <c r="L29" s="654"/>
      <c r="M29" s="657"/>
      <c r="N29" s="654"/>
      <c r="O29" s="657"/>
      <c r="P29" s="714"/>
      <c r="Q29" s="1083">
        <f>'07hod23'!Q27</f>
        <v>0</v>
      </c>
      <c r="R29" s="1026"/>
      <c r="S29" s="1178"/>
      <c r="T29" s="1178"/>
      <c r="U29" s="1178"/>
      <c r="V29" s="1178"/>
      <c r="W29" s="1178"/>
      <c r="X29" s="643">
        <f t="shared" si="3"/>
        <v>7</v>
      </c>
    </row>
    <row r="30" spans="1:24" x14ac:dyDescent="0.25">
      <c r="A30" s="1289" t="s">
        <v>675</v>
      </c>
      <c r="B30" s="1292"/>
      <c r="C30" s="1080">
        <v>45166</v>
      </c>
      <c r="D30" s="657" t="str">
        <f t="shared" si="0"/>
        <v>Po</v>
      </c>
      <c r="E30" s="724">
        <f t="shared" si="1"/>
        <v>0</v>
      </c>
      <c r="F30" s="1079">
        <f t="shared" si="2"/>
        <v>0</v>
      </c>
      <c r="G30" s="724"/>
      <c r="H30" s="724"/>
      <c r="I30" s="724"/>
      <c r="J30" s="654"/>
      <c r="K30" s="657"/>
      <c r="L30" s="654"/>
      <c r="M30" s="657"/>
      <c r="N30" s="654"/>
      <c r="O30" s="657"/>
      <c r="P30" s="714"/>
      <c r="Q30" s="1083"/>
      <c r="R30" s="1083"/>
      <c r="S30" s="1178"/>
      <c r="T30" s="1178"/>
      <c r="U30" s="1178"/>
      <c r="V30" s="1178"/>
      <c r="W30" s="1178"/>
      <c r="X30" s="643">
        <f t="shared" si="3"/>
        <v>1</v>
      </c>
    </row>
    <row r="31" spans="1:24" x14ac:dyDescent="0.25">
      <c r="A31" s="1289"/>
      <c r="B31" s="1292"/>
      <c r="C31" s="1080">
        <v>45167</v>
      </c>
      <c r="D31" s="657" t="str">
        <f t="shared" si="0"/>
        <v>Út</v>
      </c>
      <c r="E31" s="724">
        <f t="shared" si="1"/>
        <v>0.35416666666666674</v>
      </c>
      <c r="F31" s="1079">
        <f t="shared" si="2"/>
        <v>0</v>
      </c>
      <c r="G31" s="724">
        <v>0.33333333333333331</v>
      </c>
      <c r="H31" s="724">
        <f>H41</f>
        <v>2.0833333333333332E-2</v>
      </c>
      <c r="I31" s="724">
        <v>0.70833333333333337</v>
      </c>
      <c r="J31" s="654"/>
      <c r="K31" s="657"/>
      <c r="L31" s="654"/>
      <c r="M31" s="657"/>
      <c r="N31" s="654"/>
      <c r="O31" s="657"/>
      <c r="P31" s="714"/>
      <c r="Q31" s="918"/>
      <c r="R31" s="1091"/>
      <c r="S31" s="1178"/>
      <c r="T31" s="1178"/>
      <c r="U31" s="1178"/>
      <c r="V31" s="1178"/>
      <c r="W31" s="1178"/>
      <c r="X31" s="643">
        <f t="shared" si="3"/>
        <v>2</v>
      </c>
    </row>
    <row r="32" spans="1:24" x14ac:dyDescent="0.25">
      <c r="A32" s="1289"/>
      <c r="B32" s="1292"/>
      <c r="C32" s="1080">
        <v>45168</v>
      </c>
      <c r="D32" s="657" t="str">
        <f t="shared" si="0"/>
        <v>St</v>
      </c>
      <c r="E32" s="724">
        <f t="shared" si="1"/>
        <v>0.375</v>
      </c>
      <c r="F32" s="1079">
        <f t="shared" si="2"/>
        <v>0</v>
      </c>
      <c r="G32" s="724">
        <v>0.29166666666666669</v>
      </c>
      <c r="H32" s="724">
        <f>H42</f>
        <v>4.1666666666666664E-2</v>
      </c>
      <c r="I32" s="724">
        <v>0.70833333333333337</v>
      </c>
      <c r="J32" s="654"/>
      <c r="K32" s="657"/>
      <c r="L32" s="654"/>
      <c r="M32" s="657"/>
      <c r="N32" s="654"/>
      <c r="O32" s="657"/>
      <c r="P32" s="714"/>
      <c r="Q32" s="654"/>
      <c r="R32" s="1026"/>
      <c r="S32" s="1178"/>
      <c r="T32" s="1178"/>
      <c r="U32" s="1178"/>
      <c r="V32" s="1178"/>
      <c r="W32" s="1178"/>
      <c r="X32" s="643">
        <f t="shared" si="3"/>
        <v>3</v>
      </c>
    </row>
    <row r="33" spans="1:24" x14ac:dyDescent="0.25">
      <c r="A33" s="1289"/>
      <c r="B33" s="1292"/>
      <c r="C33" s="1080">
        <v>45169</v>
      </c>
      <c r="D33" s="657" t="str">
        <f t="shared" si="0"/>
        <v>Čt</v>
      </c>
      <c r="E33" s="724">
        <f t="shared" si="1"/>
        <v>0.375</v>
      </c>
      <c r="F33" s="1079">
        <f t="shared" si="2"/>
        <v>0</v>
      </c>
      <c r="G33" s="724">
        <v>0.29166666666666669</v>
      </c>
      <c r="H33" s="724">
        <f>H42</f>
        <v>4.1666666666666664E-2</v>
      </c>
      <c r="I33" s="724">
        <v>0.70833333333333337</v>
      </c>
      <c r="J33" s="654"/>
      <c r="K33" s="657"/>
      <c r="L33" s="654"/>
      <c r="M33" s="657"/>
      <c r="N33" s="654"/>
      <c r="O33" s="657"/>
      <c r="P33" s="714"/>
      <c r="Q33" s="654"/>
      <c r="R33" s="1026"/>
      <c r="S33" s="1178"/>
      <c r="T33" s="1178"/>
      <c r="U33" s="1178"/>
      <c r="V33" s="1178"/>
      <c r="W33" s="1178"/>
      <c r="X33" s="643">
        <f t="shared" si="3"/>
        <v>4</v>
      </c>
    </row>
    <row r="34" spans="1:24" x14ac:dyDescent="0.25">
      <c r="A34" s="1289"/>
      <c r="B34" s="1292"/>
      <c r="C34" s="1080">
        <v>45170</v>
      </c>
      <c r="D34" s="657" t="str">
        <f t="shared" si="0"/>
        <v>Pá</v>
      </c>
      <c r="E34" s="724">
        <f t="shared" si="1"/>
        <v>0.33333333333333337</v>
      </c>
      <c r="F34" s="1079">
        <f t="shared" si="2"/>
        <v>0</v>
      </c>
      <c r="G34" s="724">
        <v>0.39583333333333331</v>
      </c>
      <c r="H34" s="724">
        <f>H41</f>
        <v>2.0833333333333332E-2</v>
      </c>
      <c r="I34" s="724">
        <v>0.75</v>
      </c>
      <c r="J34" s="654"/>
      <c r="K34" s="657"/>
      <c r="L34" s="654"/>
      <c r="M34" s="657"/>
      <c r="N34" s="654"/>
      <c r="O34" s="657"/>
      <c r="P34" s="714"/>
      <c r="Q34" s="654"/>
      <c r="R34" s="1026"/>
      <c r="S34" s="1178"/>
      <c r="T34" s="1178"/>
      <c r="U34" s="1178"/>
      <c r="V34" s="1178"/>
      <c r="W34" s="1178"/>
      <c r="X34" s="643">
        <f t="shared" si="3"/>
        <v>5</v>
      </c>
    </row>
    <row r="35" spans="1:24" x14ac:dyDescent="0.25">
      <c r="A35" s="1289"/>
      <c r="B35" s="1292"/>
      <c r="C35" s="1080">
        <v>45171</v>
      </c>
      <c r="D35" s="657" t="str">
        <f t="shared" si="0"/>
        <v>So</v>
      </c>
      <c r="E35" s="724">
        <f t="shared" si="1"/>
        <v>0.22916666666666663</v>
      </c>
      <c r="F35" s="1079">
        <f t="shared" si="2"/>
        <v>0</v>
      </c>
      <c r="G35" s="724">
        <v>0.5</v>
      </c>
      <c r="H35" s="724"/>
      <c r="I35" s="724">
        <v>0.72916666666666663</v>
      </c>
      <c r="J35" s="654"/>
      <c r="K35" s="657"/>
      <c r="L35" s="654"/>
      <c r="M35" s="657"/>
      <c r="N35" s="654"/>
      <c r="O35" s="657"/>
      <c r="P35" s="714"/>
      <c r="Q35" s="654"/>
      <c r="R35" s="1026"/>
      <c r="S35" s="1178"/>
      <c r="T35" s="1178"/>
      <c r="U35" s="1178"/>
      <c r="V35" s="1178"/>
      <c r="W35" s="1178"/>
      <c r="X35" s="643">
        <f t="shared" si="3"/>
        <v>6</v>
      </c>
    </row>
    <row r="36" spans="1:24" ht="15.75" thickBot="1" x14ac:dyDescent="0.3">
      <c r="A36" s="1289"/>
      <c r="B36" s="1292"/>
      <c r="C36" s="1080">
        <v>45172</v>
      </c>
      <c r="D36" s="658" t="str">
        <f t="shared" si="0"/>
        <v>Ne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1178"/>
      <c r="T36" s="1178"/>
      <c r="U36" s="1178"/>
      <c r="V36" s="1178"/>
      <c r="W36" s="1178"/>
      <c r="X36" s="643">
        <f t="shared" si="3"/>
        <v>7</v>
      </c>
    </row>
    <row r="39" spans="1:24" x14ac:dyDescent="0.25">
      <c r="G39" s="731"/>
      <c r="H39" s="731"/>
      <c r="Q39" s="731"/>
    </row>
    <row r="40" spans="1:24" x14ac:dyDescent="0.25">
      <c r="E40" s="733"/>
      <c r="G40" s="732"/>
      <c r="H40" s="732"/>
    </row>
    <row r="41" spans="1:24" x14ac:dyDescent="0.25">
      <c r="H41" s="731">
        <f>TIME(0,30,0)</f>
        <v>2.0833333333333332E-2</v>
      </c>
      <c r="Q41" s="732">
        <f>SUM(E3:E33)</f>
        <v>2.5208333333333335</v>
      </c>
      <c r="R41" t="s">
        <v>315</v>
      </c>
    </row>
    <row r="42" spans="1:24" x14ac:dyDescent="0.25">
      <c r="H42" s="731">
        <f>TIME(1,0,0)</f>
        <v>4.1666666666666664E-2</v>
      </c>
      <c r="Q42" s="732">
        <f>SUM(E37:E38)</f>
        <v>0</v>
      </c>
      <c r="R42" t="s">
        <v>316</v>
      </c>
    </row>
    <row r="46" spans="1:24" x14ac:dyDescent="0.25">
      <c r="E46" s="731"/>
    </row>
  </sheetData>
  <mergeCells count="10">
    <mergeCell ref="A23:A29"/>
    <mergeCell ref="B23:B29"/>
    <mergeCell ref="A30:A36"/>
    <mergeCell ref="B30:B36"/>
    <mergeCell ref="A3:A8"/>
    <mergeCell ref="B3:B8"/>
    <mergeCell ref="A9:A15"/>
    <mergeCell ref="B9:B15"/>
    <mergeCell ref="A16:A22"/>
    <mergeCell ref="B16:B22"/>
  </mergeCells>
  <pageMargins left="0.7" right="0.7" top="0.75" bottom="0.75" header="0.3" footer="0.3"/>
  <drawing r:id="rId1"/>
  <tableParts count="1">
    <tablePart r:id="rId2"/>
  </tableParts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BDBF71-5A2F-5743-B4A9-EF2BB76716F2}">
  <dimension ref="A1:X46"/>
  <sheetViews>
    <sheetView topLeftCell="O1" zoomScaleNormal="60" zoomScaleSheetLayoutView="100" workbookViewId="0">
      <selection activeCell="U3" sqref="U3"/>
    </sheetView>
  </sheetViews>
  <sheetFormatPr defaultColWidth="8.5703125" defaultRowHeight="15" x14ac:dyDescent="0.25"/>
  <cols>
    <col min="1" max="1" width="8.5703125" bestFit="1" customWidth="1"/>
    <col min="2" max="2" width="9.140625" customWidth="1"/>
    <col min="3" max="3" width="11" bestFit="1" customWidth="1"/>
    <col min="4" max="4" width="7.42578125" bestFit="1" customWidth="1"/>
    <col min="5" max="5" width="12.8554687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8.7109375" bestFit="1" customWidth="1"/>
    <col min="21" max="21" width="13" bestFit="1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4" ht="21" x14ac:dyDescent="0.25">
      <c r="A1" s="1196"/>
      <c r="B1" s="1196"/>
    </row>
    <row r="2" spans="1:24" ht="15.75" thickBot="1" x14ac:dyDescent="0.3">
      <c r="A2" s="1193"/>
      <c r="B2" s="1193"/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11</v>
      </c>
      <c r="U2" s="650" t="s">
        <v>12</v>
      </c>
      <c r="V2" s="650" t="s">
        <v>13</v>
      </c>
      <c r="W2" s="650" t="s">
        <v>14</v>
      </c>
    </row>
    <row r="3" spans="1:24" ht="15.75" thickBot="1" x14ac:dyDescent="0.3">
      <c r="A3" s="1289"/>
      <c r="B3" s="1292"/>
      <c r="C3" s="1080">
        <v>45170</v>
      </c>
      <c r="D3" s="656" t="str">
        <f t="shared" ref="D3:D36" si="0">CHOOSE(WEEKDAY(X3),"Po","Út","St","Čt","Pá","So","Ne")</f>
        <v>Pá</v>
      </c>
      <c r="E3" s="724">
        <f t="shared" ref="E3:E36" si="1">I3-G3-H3</f>
        <v>0</v>
      </c>
      <c r="F3" s="1079">
        <f t="shared" ref="F3:F36" si="2">(P3*E3)*24</f>
        <v>0</v>
      </c>
      <c r="G3" s="724"/>
      <c r="H3" s="724"/>
      <c r="I3" s="724"/>
      <c r="J3" s="654"/>
      <c r="K3" s="657"/>
      <c r="L3" s="654"/>
      <c r="M3" s="656"/>
      <c r="N3" s="654"/>
      <c r="O3" s="657"/>
      <c r="P3" s="713"/>
      <c r="Q3" s="1081">
        <f>(Q5+Q7)</f>
        <v>0</v>
      </c>
      <c r="R3" s="656">
        <f>R5+R7</f>
        <v>0</v>
      </c>
      <c r="S3" s="853">
        <f>'03hod24'!Q6</f>
        <v>0</v>
      </c>
      <c r="T3" s="644"/>
      <c r="U3" s="644" t="str">
        <f>'08hod23'!U6</f>
        <v>Výplata za Srpen</v>
      </c>
      <c r="V3" s="875" t="str">
        <f>'08hod23'!V6</f>
        <v>xx.09.2023</v>
      </c>
      <c r="W3" s="722">
        <f>Q7*20</f>
        <v>0</v>
      </c>
      <c r="X3" s="643">
        <f t="shared" ref="X3:X36" si="3">WEEKDAY(C3,2)</f>
        <v>5</v>
      </c>
    </row>
    <row r="4" spans="1:24" x14ac:dyDescent="0.25">
      <c r="A4" s="1289"/>
      <c r="B4" s="1292"/>
      <c r="C4" s="1080">
        <v>45171</v>
      </c>
      <c r="D4" s="657" t="str">
        <f t="shared" si="0"/>
        <v>So</v>
      </c>
      <c r="E4" s="724">
        <f t="shared" si="1"/>
        <v>0</v>
      </c>
      <c r="F4" s="1079">
        <f t="shared" si="2"/>
        <v>0</v>
      </c>
      <c r="G4" s="724"/>
      <c r="H4" s="724"/>
      <c r="I4" s="724"/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 t="s">
        <v>48</v>
      </c>
      <c r="U4" s="611" t="s">
        <v>48</v>
      </c>
      <c r="V4" s="874"/>
      <c r="W4" s="1178"/>
      <c r="X4" s="643">
        <f t="shared" si="3"/>
        <v>6</v>
      </c>
    </row>
    <row r="5" spans="1:24" x14ac:dyDescent="0.25">
      <c r="A5" s="1290"/>
      <c r="B5" s="1291"/>
      <c r="C5" s="1080">
        <v>45172</v>
      </c>
      <c r="D5" s="657" t="str">
        <f t="shared" si="0"/>
        <v>Ne</v>
      </c>
      <c r="E5" s="724">
        <f t="shared" si="1"/>
        <v>0</v>
      </c>
      <c r="F5" s="1079">
        <f t="shared" si="2"/>
        <v>0</v>
      </c>
      <c r="G5" s="724"/>
      <c r="H5" s="724"/>
      <c r="I5" s="724"/>
      <c r="J5" s="654"/>
      <c r="K5" s="657"/>
      <c r="L5" s="654"/>
      <c r="M5" s="657"/>
      <c r="N5" s="654"/>
      <c r="O5" s="657"/>
      <c r="P5" s="714"/>
      <c r="Q5" s="1082">
        <f>Q41*24</f>
        <v>0</v>
      </c>
      <c r="R5" s="657">
        <v>0</v>
      </c>
      <c r="S5" s="738">
        <v>0</v>
      </c>
      <c r="T5" s="611"/>
      <c r="U5" s="611" t="s">
        <v>158</v>
      </c>
      <c r="V5" s="646"/>
      <c r="W5" s="1178"/>
      <c r="X5" s="643">
        <f t="shared" si="3"/>
        <v>7</v>
      </c>
    </row>
    <row r="6" spans="1:24" x14ac:dyDescent="0.25">
      <c r="A6" s="1290"/>
      <c r="B6" s="1291"/>
      <c r="C6" s="1080">
        <v>45173</v>
      </c>
      <c r="D6" s="657" t="str">
        <f t="shared" si="0"/>
        <v>Po</v>
      </c>
      <c r="E6" s="724">
        <f t="shared" si="1"/>
        <v>0</v>
      </c>
      <c r="F6" s="1079">
        <f t="shared" si="2"/>
        <v>0</v>
      </c>
      <c r="G6" s="724"/>
      <c r="H6" s="724"/>
      <c r="I6" s="724"/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/>
      <c r="U6" s="611" t="s">
        <v>425</v>
      </c>
      <c r="V6" s="646" t="s">
        <v>655</v>
      </c>
      <c r="W6" s="1178"/>
      <c r="X6" s="643">
        <f t="shared" si="3"/>
        <v>1</v>
      </c>
    </row>
    <row r="7" spans="1:24" ht="15.75" thickBot="1" x14ac:dyDescent="0.3">
      <c r="A7" s="1290"/>
      <c r="B7" s="1291"/>
      <c r="C7" s="1080">
        <v>45174</v>
      </c>
      <c r="D7" s="657" t="str">
        <f t="shared" si="0"/>
        <v>Út</v>
      </c>
      <c r="E7" s="724">
        <f t="shared" si="1"/>
        <v>0</v>
      </c>
      <c r="F7" s="1079">
        <f t="shared" si="2"/>
        <v>0</v>
      </c>
      <c r="G7" s="724"/>
      <c r="H7" s="724"/>
      <c r="I7" s="724"/>
      <c r="J7" s="654"/>
      <c r="K7" s="657"/>
      <c r="L7" s="654"/>
      <c r="M7" s="657"/>
      <c r="N7" s="654"/>
      <c r="O7" s="657"/>
      <c r="P7" s="714"/>
      <c r="Q7" s="1082">
        <f>Q42*24</f>
        <v>0</v>
      </c>
      <c r="R7" s="657">
        <v>0</v>
      </c>
      <c r="S7" s="712" t="s">
        <v>134</v>
      </c>
      <c r="T7" s="647"/>
      <c r="U7" s="647" t="s">
        <v>48</v>
      </c>
      <c r="V7" s="648"/>
      <c r="W7" s="1178"/>
      <c r="X7" s="643">
        <f t="shared" si="3"/>
        <v>2</v>
      </c>
    </row>
    <row r="8" spans="1:24" x14ac:dyDescent="0.25">
      <c r="A8" s="1290"/>
      <c r="B8" s="1291"/>
      <c r="C8" s="1080">
        <v>45175</v>
      </c>
      <c r="D8" s="657" t="str">
        <f t="shared" si="0"/>
        <v>St</v>
      </c>
      <c r="E8" s="724">
        <f t="shared" si="1"/>
        <v>0</v>
      </c>
      <c r="F8" s="1079">
        <f t="shared" si="2"/>
        <v>0</v>
      </c>
      <c r="G8" s="724"/>
      <c r="H8" s="724"/>
      <c r="I8" s="724"/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0</v>
      </c>
      <c r="T8" s="1178"/>
      <c r="U8" s="1178"/>
      <c r="V8" s="1178"/>
      <c r="W8" s="1178"/>
      <c r="X8" s="643">
        <f t="shared" si="3"/>
        <v>3</v>
      </c>
    </row>
    <row r="9" spans="1:24" x14ac:dyDescent="0.25">
      <c r="A9" s="1290"/>
      <c r="B9" s="1291"/>
      <c r="C9" s="1080">
        <v>45176</v>
      </c>
      <c r="D9" s="657" t="str">
        <f t="shared" si="0"/>
        <v>Čt</v>
      </c>
      <c r="E9" s="724">
        <f t="shared" si="1"/>
        <v>0</v>
      </c>
      <c r="F9" s="1079">
        <f t="shared" si="2"/>
        <v>0</v>
      </c>
      <c r="G9" s="724"/>
      <c r="H9" s="724"/>
      <c r="I9" s="724"/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1178"/>
      <c r="U9" s="1178"/>
      <c r="V9" s="1178"/>
      <c r="W9" s="1178"/>
      <c r="X9" s="643">
        <f t="shared" si="3"/>
        <v>4</v>
      </c>
    </row>
    <row r="10" spans="1:24" x14ac:dyDescent="0.25">
      <c r="A10" s="1290"/>
      <c r="B10" s="1291"/>
      <c r="C10" s="1080">
        <v>45177</v>
      </c>
      <c r="D10" s="657" t="str">
        <f t="shared" si="0"/>
        <v>Pá</v>
      </c>
      <c r="E10" s="724">
        <f t="shared" si="1"/>
        <v>0</v>
      </c>
      <c r="F10" s="1079">
        <f t="shared" si="2"/>
        <v>0</v>
      </c>
      <c r="G10" s="724"/>
      <c r="H10" s="724"/>
      <c r="I10" s="724"/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0</v>
      </c>
      <c r="T10" s="1178"/>
      <c r="U10" s="1178"/>
      <c r="V10" s="1178"/>
      <c r="W10" s="1178"/>
      <c r="X10" s="643">
        <f t="shared" si="3"/>
        <v>5</v>
      </c>
    </row>
    <row r="11" spans="1:24" x14ac:dyDescent="0.25">
      <c r="A11" s="1290"/>
      <c r="B11" s="1291"/>
      <c r="C11" s="1080">
        <v>45178</v>
      </c>
      <c r="D11" s="657" t="str">
        <f t="shared" si="0"/>
        <v>So</v>
      </c>
      <c r="E11" s="724">
        <f t="shared" si="1"/>
        <v>0</v>
      </c>
      <c r="F11" s="1079">
        <f t="shared" si="2"/>
        <v>0</v>
      </c>
      <c r="G11" s="724"/>
      <c r="H11" s="724"/>
      <c r="I11" s="724"/>
      <c r="J11" s="654"/>
      <c r="K11" s="657"/>
      <c r="L11" s="654"/>
      <c r="M11" s="657"/>
      <c r="N11" s="654"/>
      <c r="O11" s="657"/>
      <c r="P11" s="714"/>
      <c r="Q11" s="1083">
        <f>(Q3*400)</f>
        <v>0</v>
      </c>
      <c r="R11" s="1088">
        <f>SUM(R3*400)</f>
        <v>0</v>
      </c>
      <c r="S11" s="719"/>
      <c r="T11" s="1178"/>
      <c r="U11" s="1178"/>
      <c r="V11" s="1178"/>
      <c r="W11" s="1178"/>
      <c r="X11" s="643">
        <f t="shared" si="3"/>
        <v>6</v>
      </c>
    </row>
    <row r="12" spans="1:24" x14ac:dyDescent="0.25">
      <c r="A12" s="1289"/>
      <c r="B12" s="1292"/>
      <c r="C12" s="1080">
        <v>45179</v>
      </c>
      <c r="D12" s="657" t="str">
        <f t="shared" si="0"/>
        <v>Ne</v>
      </c>
      <c r="E12" s="724">
        <f t="shared" si="1"/>
        <v>0</v>
      </c>
      <c r="F12" s="1079">
        <f t="shared" si="2"/>
        <v>0</v>
      </c>
      <c r="G12" s="724"/>
      <c r="H12" s="724"/>
      <c r="I12" s="724"/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1178"/>
      <c r="T12" s="1178"/>
      <c r="U12" s="1178"/>
      <c r="V12" s="1178"/>
      <c r="W12" s="1178"/>
      <c r="X12" s="643">
        <f t="shared" si="3"/>
        <v>7</v>
      </c>
    </row>
    <row r="13" spans="1:24" x14ac:dyDescent="0.25">
      <c r="A13" s="1289"/>
      <c r="B13" s="1292"/>
      <c r="C13" s="1080">
        <v>45180</v>
      </c>
      <c r="D13" s="657" t="str">
        <f t="shared" si="0"/>
        <v>Po</v>
      </c>
      <c r="E13" s="724">
        <f t="shared" si="1"/>
        <v>0</v>
      </c>
      <c r="F13" s="1079">
        <f t="shared" si="2"/>
        <v>0</v>
      </c>
      <c r="G13" s="724"/>
      <c r="H13" s="724"/>
      <c r="I13" s="724"/>
      <c r="J13" s="654"/>
      <c r="K13" s="657"/>
      <c r="L13" s="654"/>
      <c r="M13" s="657"/>
      <c r="N13" s="654"/>
      <c r="O13" s="657"/>
      <c r="P13" s="714"/>
      <c r="Q13" s="1083">
        <f>(Q11+Q21+Q19-Q23)-Q15-R25</f>
        <v>-11496.924900000002</v>
      </c>
      <c r="R13" s="1088">
        <f>(R11+R19+R21-R23)-R15-R25</f>
        <v>0</v>
      </c>
      <c r="S13" s="1178"/>
      <c r="T13" s="1178"/>
      <c r="U13" s="1178"/>
      <c r="V13" s="1178"/>
      <c r="W13" s="1178"/>
      <c r="X13" s="643">
        <f t="shared" si="3"/>
        <v>1</v>
      </c>
    </row>
    <row r="14" spans="1:24" x14ac:dyDescent="0.25">
      <c r="A14" s="1289"/>
      <c r="B14" s="1292"/>
      <c r="C14" s="1080">
        <v>45181</v>
      </c>
      <c r="D14" s="657" t="str">
        <f t="shared" si="0"/>
        <v>Út</v>
      </c>
      <c r="E14" s="724">
        <f t="shared" si="1"/>
        <v>0</v>
      </c>
      <c r="F14" s="1079">
        <f t="shared" si="2"/>
        <v>0</v>
      </c>
      <c r="G14" s="724"/>
      <c r="H14" s="724"/>
      <c r="I14" s="724"/>
      <c r="J14" s="654"/>
      <c r="K14" s="657"/>
      <c r="L14" s="654"/>
      <c r="M14" s="657"/>
      <c r="N14" s="654"/>
      <c r="O14" s="657"/>
      <c r="P14" s="714"/>
      <c r="Q14" s="654" t="s">
        <v>26</v>
      </c>
      <c r="R14" s="1088" t="s">
        <v>26</v>
      </c>
      <c r="S14" s="1178"/>
      <c r="T14" s="1178"/>
      <c r="U14" s="1178"/>
      <c r="V14" s="1178"/>
      <c r="W14" s="1178"/>
      <c r="X14" s="643">
        <f t="shared" si="3"/>
        <v>2</v>
      </c>
    </row>
    <row r="15" spans="1:24" x14ac:dyDescent="0.25">
      <c r="A15" s="1289"/>
      <c r="B15" s="1292"/>
      <c r="C15" s="1080">
        <v>45182</v>
      </c>
      <c r="D15" s="657" t="str">
        <f t="shared" si="0"/>
        <v>St</v>
      </c>
      <c r="E15" s="724">
        <f t="shared" si="1"/>
        <v>0</v>
      </c>
      <c r="F15" s="1079">
        <f t="shared" si="2"/>
        <v>0</v>
      </c>
      <c r="G15" s="724"/>
      <c r="H15" s="724"/>
      <c r="I15" s="724"/>
      <c r="J15" s="654"/>
      <c r="K15" s="657"/>
      <c r="L15" s="654"/>
      <c r="M15" s="657"/>
      <c r="N15" s="654"/>
      <c r="O15" s="657"/>
      <c r="P15" s="714"/>
      <c r="Q15" s="1083">
        <f>(Q17*25.53)</f>
        <v>11496.924900000002</v>
      </c>
      <c r="R15" s="1088">
        <f>(R17*25.53)</f>
        <v>0</v>
      </c>
      <c r="S15" s="923" t="s">
        <v>458</v>
      </c>
      <c r="T15" s="1004">
        <f>R15+R23-R19</f>
        <v>0</v>
      </c>
      <c r="U15" s="1007"/>
      <c r="V15" s="923" t="s">
        <v>462</v>
      </c>
      <c r="W15" s="1004">
        <f>R15+R23</f>
        <v>0</v>
      </c>
      <c r="X15" s="643">
        <f t="shared" si="3"/>
        <v>3</v>
      </c>
    </row>
    <row r="16" spans="1:24" x14ac:dyDescent="0.25">
      <c r="A16" s="1289"/>
      <c r="B16" s="1292"/>
      <c r="C16" s="1080">
        <v>45183</v>
      </c>
      <c r="D16" s="657" t="str">
        <f t="shared" si="0"/>
        <v>Čt</v>
      </c>
      <c r="E16" s="724">
        <f t="shared" si="1"/>
        <v>0</v>
      </c>
      <c r="F16" s="1079">
        <f t="shared" si="2"/>
        <v>0</v>
      </c>
      <c r="G16" s="724"/>
      <c r="H16" s="724"/>
      <c r="I16" s="724"/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179" t="s">
        <v>459</v>
      </c>
      <c r="T16" s="1180">
        <f>R11</f>
        <v>0</v>
      </c>
      <c r="U16" s="1008"/>
      <c r="V16" s="1179" t="s">
        <v>463</v>
      </c>
      <c r="W16" s="1180">
        <f>R11+R19+R21+Q29</f>
        <v>0</v>
      </c>
      <c r="X16" s="643">
        <f t="shared" si="3"/>
        <v>4</v>
      </c>
    </row>
    <row r="17" spans="1:24" x14ac:dyDescent="0.25">
      <c r="A17" s="1289"/>
      <c r="B17" s="1292"/>
      <c r="C17" s="1080">
        <v>45184</v>
      </c>
      <c r="D17" s="657" t="str">
        <f t="shared" si="0"/>
        <v>Pá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154">
        <f>'04cash'!O44</f>
        <v>450.33000000000004</v>
      </c>
      <c r="R17" s="1089">
        <v>0</v>
      </c>
      <c r="S17" s="1179"/>
      <c r="T17" s="1181">
        <f>T16-T15</f>
        <v>0</v>
      </c>
      <c r="U17" s="1008"/>
      <c r="V17" s="1179" t="s">
        <v>513</v>
      </c>
      <c r="W17" s="1180">
        <f>W16-W15</f>
        <v>0</v>
      </c>
      <c r="X17" s="643">
        <f t="shared" si="3"/>
        <v>5</v>
      </c>
    </row>
    <row r="18" spans="1:24" x14ac:dyDescent="0.25">
      <c r="A18" s="1289"/>
      <c r="B18" s="1292"/>
      <c r="C18" s="1080">
        <v>45185</v>
      </c>
      <c r="D18" s="657" t="str">
        <f t="shared" si="0"/>
        <v>So</v>
      </c>
      <c r="E18" s="724">
        <f t="shared" si="1"/>
        <v>0</v>
      </c>
      <c r="F18" s="1079">
        <f t="shared" si="2"/>
        <v>0</v>
      </c>
      <c r="G18" s="724"/>
      <c r="H18" s="724"/>
      <c r="I18" s="724"/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180">
        <f>T17-S6-S8</f>
        <v>0</v>
      </c>
      <c r="T18" s="1179"/>
      <c r="U18" s="1009"/>
      <c r="V18" s="1179" t="s">
        <v>514</v>
      </c>
      <c r="W18" s="1180">
        <f>W17-S6-S8</f>
        <v>0</v>
      </c>
      <c r="X18" s="643">
        <f t="shared" si="3"/>
        <v>6</v>
      </c>
    </row>
    <row r="19" spans="1:24" x14ac:dyDescent="0.25">
      <c r="A19" s="1290"/>
      <c r="B19" s="1291"/>
      <c r="C19" s="1080">
        <v>45186</v>
      </c>
      <c r="D19" s="657" t="str">
        <f t="shared" si="0"/>
        <v>Ne</v>
      </c>
      <c r="E19" s="724">
        <f t="shared" si="1"/>
        <v>0</v>
      </c>
      <c r="F19" s="1079">
        <f t="shared" si="2"/>
        <v>0</v>
      </c>
      <c r="G19" s="724"/>
      <c r="H19" s="724"/>
      <c r="I19" s="724"/>
      <c r="J19" s="654"/>
      <c r="K19" s="657"/>
      <c r="L19" s="654"/>
      <c r="M19" s="657"/>
      <c r="N19" s="654"/>
      <c r="O19" s="657"/>
      <c r="P19" s="714"/>
      <c r="Q19" s="1083"/>
      <c r="R19" s="1088"/>
      <c r="S19" s="1179"/>
      <c r="T19" s="1179"/>
      <c r="U19" s="1008"/>
      <c r="V19" s="1179"/>
      <c r="W19" s="1179"/>
      <c r="X19" s="643">
        <f t="shared" si="3"/>
        <v>7</v>
      </c>
    </row>
    <row r="20" spans="1:24" x14ac:dyDescent="0.25">
      <c r="A20" s="1290"/>
      <c r="B20" s="1291"/>
      <c r="C20" s="1080">
        <v>45187</v>
      </c>
      <c r="D20" s="657" t="str">
        <f t="shared" si="0"/>
        <v>Po</v>
      </c>
      <c r="E20" s="724">
        <f t="shared" si="1"/>
        <v>0</v>
      </c>
      <c r="F20" s="1079">
        <f t="shared" si="2"/>
        <v>0</v>
      </c>
      <c r="G20" s="724"/>
      <c r="H20" s="724"/>
      <c r="I20" s="724"/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179"/>
      <c r="T20" s="1179"/>
      <c r="U20" s="1008"/>
      <c r="V20" s="1179"/>
      <c r="W20" s="1179"/>
      <c r="X20" s="643">
        <f t="shared" si="3"/>
        <v>1</v>
      </c>
    </row>
    <row r="21" spans="1:24" x14ac:dyDescent="0.25">
      <c r="A21" s="1290"/>
      <c r="B21" s="1291"/>
      <c r="C21" s="1080">
        <v>45188</v>
      </c>
      <c r="D21" s="657" t="str">
        <f t="shared" si="0"/>
        <v>Út</v>
      </c>
      <c r="E21" s="724">
        <f t="shared" si="1"/>
        <v>0</v>
      </c>
      <c r="F21" s="1079">
        <f t="shared" si="2"/>
        <v>0</v>
      </c>
      <c r="G21" s="724"/>
      <c r="H21" s="724"/>
      <c r="I21" s="724"/>
      <c r="J21" s="654"/>
      <c r="K21" s="657"/>
      <c r="L21" s="654"/>
      <c r="M21" s="657"/>
      <c r="N21" s="654"/>
      <c r="O21" s="657"/>
      <c r="P21" s="714"/>
      <c r="Q21" s="1083">
        <f>W3</f>
        <v>0</v>
      </c>
      <c r="R21" s="1088">
        <v>0</v>
      </c>
      <c r="S21" s="1179"/>
      <c r="T21" s="1179"/>
      <c r="U21" s="1008"/>
      <c r="V21" s="1179"/>
      <c r="W21" s="1179"/>
      <c r="X21" s="643">
        <f t="shared" si="3"/>
        <v>2</v>
      </c>
    </row>
    <row r="22" spans="1:24" x14ac:dyDescent="0.25">
      <c r="A22" s="1290"/>
      <c r="B22" s="1291"/>
      <c r="C22" s="1080">
        <v>45189</v>
      </c>
      <c r="D22" s="657" t="str">
        <f t="shared" si="0"/>
        <v>St</v>
      </c>
      <c r="E22" s="724">
        <f t="shared" si="1"/>
        <v>0</v>
      </c>
      <c r="F22" s="1079">
        <f t="shared" si="2"/>
        <v>0</v>
      </c>
      <c r="G22" s="724"/>
      <c r="H22" s="724"/>
      <c r="I22" s="724"/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179"/>
      <c r="T22" s="1179"/>
      <c r="U22" s="1008"/>
      <c r="V22" s="1179"/>
      <c r="W22" s="1179"/>
      <c r="X22" s="643">
        <f t="shared" si="3"/>
        <v>3</v>
      </c>
    </row>
    <row r="23" spans="1:24" x14ac:dyDescent="0.25">
      <c r="A23" s="1290"/>
      <c r="B23" s="1291"/>
      <c r="C23" s="1080">
        <v>45190</v>
      </c>
      <c r="D23" s="657" t="str">
        <f t="shared" si="0"/>
        <v>Čt</v>
      </c>
      <c r="E23" s="724">
        <f t="shared" si="1"/>
        <v>0</v>
      </c>
      <c r="F23" s="1079">
        <f t="shared" si="2"/>
        <v>0</v>
      </c>
      <c r="G23" s="724"/>
      <c r="H23" s="724"/>
      <c r="I23" s="724"/>
      <c r="J23" s="654"/>
      <c r="K23" s="657"/>
      <c r="L23" s="654"/>
      <c r="M23" s="657"/>
      <c r="N23" s="654"/>
      <c r="O23" s="657"/>
      <c r="P23" s="714"/>
      <c r="Q23" s="1083">
        <v>0</v>
      </c>
      <c r="R23" s="1088">
        <v>0</v>
      </c>
      <c r="S23" s="1179"/>
      <c r="T23" s="1017"/>
      <c r="U23" s="1178"/>
      <c r="V23" s="1179"/>
      <c r="W23" s="1179"/>
      <c r="X23" s="643">
        <f t="shared" si="3"/>
        <v>4</v>
      </c>
    </row>
    <row r="24" spans="1:24" x14ac:dyDescent="0.25">
      <c r="A24" s="1290"/>
      <c r="B24" s="1291"/>
      <c r="C24" s="1080">
        <v>45191</v>
      </c>
      <c r="D24" s="657" t="str">
        <f t="shared" si="0"/>
        <v>Pá</v>
      </c>
      <c r="E24" s="724">
        <f t="shared" si="1"/>
        <v>0</v>
      </c>
      <c r="F24" s="1079">
        <f t="shared" si="2"/>
        <v>0</v>
      </c>
      <c r="G24" s="724"/>
      <c r="H24" s="724"/>
      <c r="I24" s="724"/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182">
        <f>S18-R25</f>
        <v>0</v>
      </c>
      <c r="T24" s="1018"/>
      <c r="U24" s="1182">
        <f>W18-Q27</f>
        <v>0</v>
      </c>
      <c r="V24" s="1179"/>
      <c r="W24" s="1179"/>
      <c r="X24" s="643">
        <f t="shared" si="3"/>
        <v>5</v>
      </c>
    </row>
    <row r="25" spans="1:24" x14ac:dyDescent="0.25">
      <c r="A25" s="1290"/>
      <c r="B25" s="1291"/>
      <c r="C25" s="1080">
        <v>45192</v>
      </c>
      <c r="D25" s="657" t="str">
        <f t="shared" si="0"/>
        <v>So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0</v>
      </c>
      <c r="R25" s="1088">
        <f>Q27-Q29</f>
        <v>0</v>
      </c>
      <c r="S25" s="1020"/>
      <c r="T25" s="1019"/>
      <c r="U25" s="1006"/>
      <c r="V25" s="1006"/>
      <c r="W25" s="1006"/>
      <c r="X25" s="643">
        <f t="shared" si="3"/>
        <v>6</v>
      </c>
    </row>
    <row r="26" spans="1:24" x14ac:dyDescent="0.25">
      <c r="A26" s="1289"/>
      <c r="B26" s="1292"/>
      <c r="C26" s="1080">
        <v>45193</v>
      </c>
      <c r="D26" s="657" t="str">
        <f t="shared" si="0"/>
        <v>Ne</v>
      </c>
      <c r="E26" s="724">
        <f t="shared" si="1"/>
        <v>0</v>
      </c>
      <c r="F26" s="1079">
        <f t="shared" si="2"/>
        <v>0</v>
      </c>
      <c r="G26" s="724"/>
      <c r="H26" s="724"/>
      <c r="I26" s="724"/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1178"/>
      <c r="T26" s="1178"/>
      <c r="U26" s="1178"/>
      <c r="V26" s="1178"/>
      <c r="W26" s="1178"/>
      <c r="X26" s="643">
        <f t="shared" si="3"/>
        <v>7</v>
      </c>
    </row>
    <row r="27" spans="1:24" x14ac:dyDescent="0.25">
      <c r="A27" s="1289"/>
      <c r="B27" s="1292"/>
      <c r="C27" s="1080">
        <v>45194</v>
      </c>
      <c r="D27" s="657" t="str">
        <f t="shared" si="0"/>
        <v>Po</v>
      </c>
      <c r="E27" s="724">
        <f t="shared" si="1"/>
        <v>0</v>
      </c>
      <c r="F27" s="1079">
        <f t="shared" si="2"/>
        <v>0</v>
      </c>
      <c r="G27" s="724"/>
      <c r="H27" s="724"/>
      <c r="I27" s="724"/>
      <c r="J27" s="654"/>
      <c r="K27" s="657"/>
      <c r="L27" s="654"/>
      <c r="M27" s="657"/>
      <c r="N27" s="654"/>
      <c r="O27" s="657"/>
      <c r="P27" s="714"/>
      <c r="Q27" s="1083">
        <v>0</v>
      </c>
      <c r="R27" s="1088"/>
      <c r="S27" s="1178"/>
      <c r="T27" s="1178"/>
      <c r="U27" s="1178"/>
      <c r="V27" s="1178"/>
      <c r="W27" s="1178"/>
      <c r="X27" s="643">
        <f t="shared" si="3"/>
        <v>1</v>
      </c>
    </row>
    <row r="28" spans="1:24" x14ac:dyDescent="0.25">
      <c r="A28" s="1289"/>
      <c r="B28" s="1292"/>
      <c r="C28" s="1080">
        <v>45195</v>
      </c>
      <c r="D28" s="657" t="str">
        <f t="shared" si="0"/>
        <v>Út</v>
      </c>
      <c r="E28" s="724">
        <f t="shared" si="1"/>
        <v>0</v>
      </c>
      <c r="F28" s="1079">
        <f t="shared" si="2"/>
        <v>0</v>
      </c>
      <c r="G28" s="724"/>
      <c r="H28" s="724"/>
      <c r="I28" s="724"/>
      <c r="J28" s="654"/>
      <c r="K28" s="657"/>
      <c r="L28" s="654"/>
      <c r="M28" s="657"/>
      <c r="N28" s="654"/>
      <c r="O28" s="657"/>
      <c r="P28" s="714"/>
      <c r="Q28" s="654" t="s">
        <v>373</v>
      </c>
      <c r="R28" s="1026"/>
      <c r="S28" s="1178"/>
      <c r="T28" s="1178"/>
      <c r="U28" s="1178"/>
      <c r="V28" s="1178"/>
      <c r="W28" s="1178"/>
      <c r="X28" s="643">
        <f t="shared" si="3"/>
        <v>2</v>
      </c>
    </row>
    <row r="29" spans="1:24" x14ac:dyDescent="0.25">
      <c r="A29" s="1289"/>
      <c r="B29" s="1292"/>
      <c r="C29" s="1080">
        <v>45196</v>
      </c>
      <c r="D29" s="657" t="str">
        <f t="shared" si="0"/>
        <v>St</v>
      </c>
      <c r="E29" s="724">
        <f t="shared" si="1"/>
        <v>0</v>
      </c>
      <c r="F29" s="1079">
        <f t="shared" si="2"/>
        <v>0</v>
      </c>
      <c r="G29" s="724"/>
      <c r="H29" s="724"/>
      <c r="I29" s="724"/>
      <c r="J29" s="654"/>
      <c r="K29" s="657"/>
      <c r="L29" s="654"/>
      <c r="M29" s="657"/>
      <c r="N29" s="654"/>
      <c r="O29" s="657"/>
      <c r="P29" s="714"/>
      <c r="Q29" s="1083">
        <f>'08hod23'!Q27</f>
        <v>0</v>
      </c>
      <c r="R29" s="1026"/>
      <c r="S29" s="1178"/>
      <c r="T29" s="1178"/>
      <c r="U29" s="1178"/>
      <c r="V29" s="1178"/>
      <c r="W29" s="1178"/>
      <c r="X29" s="643">
        <f t="shared" si="3"/>
        <v>3</v>
      </c>
    </row>
    <row r="30" spans="1:24" x14ac:dyDescent="0.25">
      <c r="A30" s="1289"/>
      <c r="B30" s="1292"/>
      <c r="C30" s="1080">
        <v>45197</v>
      </c>
      <c r="D30" s="657" t="str">
        <f t="shared" si="0"/>
        <v>Čt</v>
      </c>
      <c r="E30" s="724">
        <f t="shared" si="1"/>
        <v>0</v>
      </c>
      <c r="F30" s="1079">
        <f t="shared" si="2"/>
        <v>0</v>
      </c>
      <c r="G30" s="724"/>
      <c r="H30" s="724"/>
      <c r="I30" s="724"/>
      <c r="J30" s="654"/>
      <c r="K30" s="657"/>
      <c r="L30" s="654"/>
      <c r="M30" s="657"/>
      <c r="N30" s="654"/>
      <c r="O30" s="657"/>
      <c r="P30" s="714"/>
      <c r="Q30" s="1083"/>
      <c r="R30" s="1083"/>
      <c r="S30" s="1178"/>
      <c r="T30" s="1178"/>
      <c r="U30" s="1178"/>
      <c r="V30" s="1178"/>
      <c r="W30" s="1178"/>
      <c r="X30" s="643">
        <f t="shared" si="3"/>
        <v>4</v>
      </c>
    </row>
    <row r="31" spans="1:24" x14ac:dyDescent="0.25">
      <c r="A31" s="1289"/>
      <c r="B31" s="1292"/>
      <c r="C31" s="1080">
        <v>45198</v>
      </c>
      <c r="D31" s="657" t="str">
        <f t="shared" si="0"/>
        <v>Pá</v>
      </c>
      <c r="E31" s="724">
        <f t="shared" si="1"/>
        <v>0</v>
      </c>
      <c r="F31" s="1079">
        <f t="shared" si="2"/>
        <v>0</v>
      </c>
      <c r="G31" s="724"/>
      <c r="H31" s="724"/>
      <c r="I31" s="724"/>
      <c r="J31" s="654"/>
      <c r="K31" s="657"/>
      <c r="L31" s="654"/>
      <c r="M31" s="657"/>
      <c r="N31" s="654"/>
      <c r="O31" s="657"/>
      <c r="P31" s="714"/>
      <c r="Q31" s="918"/>
      <c r="R31" s="1091"/>
      <c r="S31" s="1178"/>
      <c r="T31" s="1178"/>
      <c r="U31" s="1178"/>
      <c r="V31" s="1178"/>
      <c r="W31" s="1178"/>
      <c r="X31" s="643">
        <f t="shared" si="3"/>
        <v>5</v>
      </c>
    </row>
    <row r="32" spans="1:24" x14ac:dyDescent="0.25">
      <c r="A32" s="1289"/>
      <c r="B32" s="1292"/>
      <c r="C32" s="1080">
        <v>45199</v>
      </c>
      <c r="D32" s="657" t="str">
        <f t="shared" si="0"/>
        <v>So</v>
      </c>
      <c r="E32" s="724">
        <f t="shared" si="1"/>
        <v>0</v>
      </c>
      <c r="F32" s="1079">
        <f t="shared" si="2"/>
        <v>0</v>
      </c>
      <c r="G32" s="724"/>
      <c r="H32" s="724"/>
      <c r="I32" s="724"/>
      <c r="J32" s="654"/>
      <c r="K32" s="657"/>
      <c r="L32" s="654"/>
      <c r="M32" s="657"/>
      <c r="N32" s="654"/>
      <c r="O32" s="657"/>
      <c r="P32" s="714"/>
      <c r="Q32" s="654"/>
      <c r="R32" s="1026"/>
      <c r="S32" s="1178"/>
      <c r="T32" s="1178"/>
      <c r="U32" s="1178"/>
      <c r="V32" s="1178"/>
      <c r="W32" s="1178"/>
      <c r="X32" s="643">
        <f t="shared" si="3"/>
        <v>6</v>
      </c>
    </row>
    <row r="33" spans="1:24" x14ac:dyDescent="0.25">
      <c r="A33" s="1289"/>
      <c r="B33" s="1292"/>
      <c r="C33" s="1080">
        <v>45200</v>
      </c>
      <c r="D33" s="657" t="str">
        <f t="shared" si="0"/>
        <v>Ne</v>
      </c>
      <c r="E33" s="724">
        <f t="shared" si="1"/>
        <v>0</v>
      </c>
      <c r="F33" s="1079">
        <f t="shared" si="2"/>
        <v>0</v>
      </c>
      <c r="G33" s="724"/>
      <c r="H33" s="724"/>
      <c r="I33" s="724"/>
      <c r="J33" s="654"/>
      <c r="K33" s="657"/>
      <c r="L33" s="654"/>
      <c r="M33" s="657"/>
      <c r="N33" s="654"/>
      <c r="O33" s="657"/>
      <c r="P33" s="714"/>
      <c r="Q33" s="654"/>
      <c r="R33" s="1026"/>
      <c r="S33" s="1178"/>
      <c r="T33" s="1178"/>
      <c r="U33" s="1178"/>
      <c r="V33" s="1178"/>
      <c r="W33" s="1178"/>
      <c r="X33" s="643">
        <f t="shared" si="3"/>
        <v>7</v>
      </c>
    </row>
    <row r="34" spans="1:24" x14ac:dyDescent="0.25">
      <c r="A34" s="1290"/>
      <c r="B34" s="1291"/>
      <c r="C34" s="1080">
        <v>45201</v>
      </c>
      <c r="D34" s="657" t="str">
        <f t="shared" si="0"/>
        <v>Po</v>
      </c>
      <c r="E34" s="724">
        <f t="shared" si="1"/>
        <v>0</v>
      </c>
      <c r="F34" s="1079">
        <f t="shared" si="2"/>
        <v>0</v>
      </c>
      <c r="G34" s="724"/>
      <c r="H34" s="724"/>
      <c r="I34" s="724"/>
      <c r="J34" s="654"/>
      <c r="K34" s="657"/>
      <c r="L34" s="654"/>
      <c r="M34" s="657"/>
      <c r="N34" s="654"/>
      <c r="O34" s="657"/>
      <c r="P34" s="714"/>
      <c r="Q34" s="654"/>
      <c r="R34" s="1026"/>
      <c r="S34" s="1178"/>
      <c r="T34" s="1178"/>
      <c r="U34" s="1178"/>
      <c r="V34" s="1178"/>
      <c r="W34" s="1178"/>
      <c r="X34" s="643">
        <f t="shared" si="3"/>
        <v>1</v>
      </c>
    </row>
    <row r="35" spans="1:24" x14ac:dyDescent="0.25">
      <c r="A35" s="1290"/>
      <c r="B35" s="1291"/>
      <c r="C35" s="1080">
        <v>45202</v>
      </c>
      <c r="D35" s="657" t="str">
        <f t="shared" si="0"/>
        <v>Út</v>
      </c>
      <c r="E35" s="724">
        <f t="shared" si="1"/>
        <v>0</v>
      </c>
      <c r="F35" s="1079">
        <f t="shared" si="2"/>
        <v>0</v>
      </c>
      <c r="G35" s="724"/>
      <c r="H35" s="724"/>
      <c r="I35" s="724"/>
      <c r="J35" s="654"/>
      <c r="K35" s="657"/>
      <c r="L35" s="654"/>
      <c r="M35" s="657"/>
      <c r="N35" s="654"/>
      <c r="O35" s="657"/>
      <c r="P35" s="714"/>
      <c r="Q35" s="654"/>
      <c r="R35" s="1026"/>
      <c r="S35" s="1178"/>
      <c r="T35" s="1178"/>
      <c r="U35" s="1178"/>
      <c r="V35" s="1178"/>
      <c r="W35" s="1178"/>
      <c r="X35" s="643">
        <f t="shared" si="3"/>
        <v>2</v>
      </c>
    </row>
    <row r="36" spans="1:24" ht="15.75" thickBot="1" x14ac:dyDescent="0.3">
      <c r="A36" s="1290"/>
      <c r="B36" s="1291"/>
      <c r="C36" s="1080">
        <v>45203</v>
      </c>
      <c r="D36" s="658" t="str">
        <f t="shared" si="0"/>
        <v>St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1178"/>
      <c r="T36" s="1178"/>
      <c r="U36" s="1178"/>
      <c r="V36" s="1178"/>
      <c r="W36" s="1178"/>
      <c r="X36" s="643">
        <f t="shared" si="3"/>
        <v>3</v>
      </c>
    </row>
    <row r="39" spans="1:24" x14ac:dyDescent="0.25">
      <c r="G39" s="731"/>
      <c r="H39" s="731"/>
      <c r="Q39" s="731"/>
    </row>
    <row r="40" spans="1:24" x14ac:dyDescent="0.25">
      <c r="E40" s="733"/>
      <c r="G40" s="732"/>
      <c r="H40" s="732"/>
    </row>
    <row r="41" spans="1:24" x14ac:dyDescent="0.25">
      <c r="H41" s="731">
        <f>TIME(0,30,0)</f>
        <v>2.0833333333333332E-2</v>
      </c>
      <c r="Q41" s="732">
        <f>SUM(E3:E11)</f>
        <v>0</v>
      </c>
      <c r="R41" t="s">
        <v>315</v>
      </c>
    </row>
    <row r="42" spans="1:24" x14ac:dyDescent="0.25">
      <c r="H42" s="731">
        <f>TIME(1,0,0)</f>
        <v>4.1666666666666664E-2</v>
      </c>
      <c r="Q42" s="732">
        <f>SUM(E12:E33)</f>
        <v>0</v>
      </c>
      <c r="R42" t="s">
        <v>316</v>
      </c>
    </row>
    <row r="46" spans="1:24" x14ac:dyDescent="0.25">
      <c r="E46" s="731"/>
    </row>
  </sheetData>
  <mergeCells count="12">
    <mergeCell ref="A3:A4"/>
    <mergeCell ref="B3:B4"/>
    <mergeCell ref="A5:A11"/>
    <mergeCell ref="B5:B11"/>
    <mergeCell ref="A12:A18"/>
    <mergeCell ref="B12:B18"/>
    <mergeCell ref="A19:A25"/>
    <mergeCell ref="B19:B25"/>
    <mergeCell ref="A26:A33"/>
    <mergeCell ref="B26:B33"/>
    <mergeCell ref="A34:A36"/>
    <mergeCell ref="B34:B36"/>
  </mergeCells>
  <pageMargins left="0.7" right="0.7" top="0.75" bottom="0.75" header="0.3" footer="0.3"/>
  <tableParts count="1">
    <tablePart r:id="rId1"/>
  </tableParts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9D0576-0CA2-6E47-A286-194F61258822}">
  <dimension ref="A1:X46"/>
  <sheetViews>
    <sheetView zoomScaleNormal="60" zoomScaleSheetLayoutView="100" workbookViewId="0">
      <selection activeCell="E3" sqref="E3"/>
    </sheetView>
  </sheetViews>
  <sheetFormatPr defaultColWidth="8.5703125" defaultRowHeight="15" x14ac:dyDescent="0.25"/>
  <cols>
    <col min="1" max="1" width="8.5703125" bestFit="1" customWidth="1"/>
    <col min="2" max="2" width="9.140625" customWidth="1"/>
    <col min="3" max="3" width="11" bestFit="1" customWidth="1"/>
    <col min="4" max="4" width="7.42578125" bestFit="1" customWidth="1"/>
    <col min="5" max="5" width="12.8554687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8.7109375" bestFit="1" customWidth="1"/>
    <col min="21" max="21" width="13" bestFit="1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4" ht="21" x14ac:dyDescent="0.25">
      <c r="A1" s="1196"/>
      <c r="B1" s="1196"/>
    </row>
    <row r="2" spans="1:24" ht="15.75" thickBot="1" x14ac:dyDescent="0.3">
      <c r="A2" s="1193"/>
      <c r="B2" s="1193"/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11</v>
      </c>
      <c r="U2" s="650" t="s">
        <v>12</v>
      </c>
      <c r="V2" s="650" t="s">
        <v>13</v>
      </c>
      <c r="W2" s="650" t="s">
        <v>14</v>
      </c>
    </row>
    <row r="3" spans="1:24" ht="15.75" thickBot="1" x14ac:dyDescent="0.3">
      <c r="A3" s="1289"/>
      <c r="B3" s="1292"/>
      <c r="C3" s="1080">
        <v>45200</v>
      </c>
      <c r="D3" s="656" t="str">
        <f t="shared" ref="D3:D36" si="0">CHOOSE(WEEKDAY(X3),"Po","Út","St","Čt","Pá","So","Ne")</f>
        <v>Ne</v>
      </c>
      <c r="E3" s="724">
        <f t="shared" ref="E3:E36" si="1">I3-G3-H3</f>
        <v>0</v>
      </c>
      <c r="F3" s="1079">
        <f t="shared" ref="F3:F36" si="2">(P3*E3)*24</f>
        <v>0</v>
      </c>
      <c r="G3" s="724"/>
      <c r="H3" s="724"/>
      <c r="I3" s="724"/>
      <c r="J3" s="654"/>
      <c r="K3" s="657"/>
      <c r="L3" s="654"/>
      <c r="M3" s="656"/>
      <c r="N3" s="654"/>
      <c r="O3" s="657"/>
      <c r="P3" s="713"/>
      <c r="Q3" s="1081">
        <f>(Q5+Q7)</f>
        <v>0</v>
      </c>
      <c r="R3" s="656">
        <f>R5+R7</f>
        <v>0</v>
      </c>
      <c r="S3" s="853">
        <f>'09hod23'!S6</f>
        <v>0</v>
      </c>
      <c r="T3" s="644"/>
      <c r="U3" s="644" t="str">
        <f>'09hod23'!U6</f>
        <v>Výplata za Září</v>
      </c>
      <c r="V3" s="875" t="str">
        <f>'09hod23'!V6</f>
        <v>xx.10.2023</v>
      </c>
      <c r="W3" s="722">
        <f>Q7*20</f>
        <v>0</v>
      </c>
      <c r="X3" s="643">
        <f t="shared" ref="X3:X36" si="3">WEEKDAY(C3,2)</f>
        <v>7</v>
      </c>
    </row>
    <row r="4" spans="1:24" x14ac:dyDescent="0.25">
      <c r="A4" s="1289"/>
      <c r="B4" s="1292"/>
      <c r="C4" s="1080">
        <v>45201</v>
      </c>
      <c r="D4" s="657" t="str">
        <f t="shared" si="0"/>
        <v>Po</v>
      </c>
      <c r="E4" s="724">
        <f t="shared" si="1"/>
        <v>0</v>
      </c>
      <c r="F4" s="1079">
        <f t="shared" si="2"/>
        <v>0</v>
      </c>
      <c r="G4" s="724"/>
      <c r="H4" s="724"/>
      <c r="I4" s="724"/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 t="s">
        <v>48</v>
      </c>
      <c r="U4" s="611" t="s">
        <v>48</v>
      </c>
      <c r="V4" s="874"/>
      <c r="W4" s="1178"/>
      <c r="X4" s="643">
        <f t="shared" si="3"/>
        <v>1</v>
      </c>
    </row>
    <row r="5" spans="1:24" x14ac:dyDescent="0.25">
      <c r="A5" s="1290"/>
      <c r="B5" s="1291"/>
      <c r="C5" s="1080">
        <v>45202</v>
      </c>
      <c r="D5" s="657" t="str">
        <f t="shared" si="0"/>
        <v>Út</v>
      </c>
      <c r="E5" s="724">
        <f t="shared" si="1"/>
        <v>0</v>
      </c>
      <c r="F5" s="1079">
        <f t="shared" si="2"/>
        <v>0</v>
      </c>
      <c r="G5" s="724"/>
      <c r="H5" s="724"/>
      <c r="I5" s="724"/>
      <c r="J5" s="654"/>
      <c r="K5" s="657"/>
      <c r="L5" s="654"/>
      <c r="M5" s="657"/>
      <c r="N5" s="654"/>
      <c r="O5" s="657"/>
      <c r="P5" s="714"/>
      <c r="Q5" s="1082">
        <f>Q41*24</f>
        <v>0</v>
      </c>
      <c r="R5" s="657">
        <v>0</v>
      </c>
      <c r="S5" s="738">
        <v>0</v>
      </c>
      <c r="T5" s="611"/>
      <c r="U5" s="611" t="s">
        <v>158</v>
      </c>
      <c r="V5" s="646"/>
      <c r="W5" s="1178"/>
      <c r="X5" s="643">
        <f t="shared" si="3"/>
        <v>2</v>
      </c>
    </row>
    <row r="6" spans="1:24" x14ac:dyDescent="0.25">
      <c r="A6" s="1290"/>
      <c r="B6" s="1291"/>
      <c r="C6" s="1080">
        <v>45203</v>
      </c>
      <c r="D6" s="657" t="str">
        <f t="shared" si="0"/>
        <v>St</v>
      </c>
      <c r="E6" s="724">
        <f t="shared" si="1"/>
        <v>0</v>
      </c>
      <c r="F6" s="1079">
        <f t="shared" si="2"/>
        <v>0</v>
      </c>
      <c r="G6" s="724"/>
      <c r="H6" s="724"/>
      <c r="I6" s="724"/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/>
      <c r="U6" s="611" t="s">
        <v>430</v>
      </c>
      <c r="V6" s="646" t="s">
        <v>655</v>
      </c>
      <c r="W6" s="1178"/>
      <c r="X6" s="643">
        <f t="shared" si="3"/>
        <v>3</v>
      </c>
    </row>
    <row r="7" spans="1:24" ht="15.75" thickBot="1" x14ac:dyDescent="0.3">
      <c r="A7" s="1290"/>
      <c r="B7" s="1291"/>
      <c r="C7" s="1080">
        <v>45204</v>
      </c>
      <c r="D7" s="657" t="str">
        <f t="shared" si="0"/>
        <v>Čt</v>
      </c>
      <c r="E7" s="724">
        <f t="shared" si="1"/>
        <v>0</v>
      </c>
      <c r="F7" s="1079">
        <f t="shared" si="2"/>
        <v>0</v>
      </c>
      <c r="G7" s="724"/>
      <c r="H7" s="724"/>
      <c r="I7" s="724"/>
      <c r="J7" s="654"/>
      <c r="K7" s="657"/>
      <c r="L7" s="654"/>
      <c r="M7" s="657"/>
      <c r="N7" s="654"/>
      <c r="O7" s="657"/>
      <c r="P7" s="714"/>
      <c r="Q7" s="1082">
        <f>Q42*24</f>
        <v>0</v>
      </c>
      <c r="R7" s="657">
        <v>0</v>
      </c>
      <c r="S7" s="712" t="s">
        <v>134</v>
      </c>
      <c r="T7" s="647"/>
      <c r="U7" s="647" t="s">
        <v>48</v>
      </c>
      <c r="V7" s="648"/>
      <c r="W7" s="1178"/>
      <c r="X7" s="643">
        <f t="shared" si="3"/>
        <v>4</v>
      </c>
    </row>
    <row r="8" spans="1:24" x14ac:dyDescent="0.25">
      <c r="A8" s="1290"/>
      <c r="B8" s="1291"/>
      <c r="C8" s="1080">
        <v>45205</v>
      </c>
      <c r="D8" s="657" t="str">
        <f t="shared" si="0"/>
        <v>Pá</v>
      </c>
      <c r="E8" s="724">
        <f t="shared" si="1"/>
        <v>0</v>
      </c>
      <c r="F8" s="1079">
        <f t="shared" si="2"/>
        <v>0</v>
      </c>
      <c r="G8" s="724"/>
      <c r="H8" s="724"/>
      <c r="I8" s="724"/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0</v>
      </c>
      <c r="T8" s="1178"/>
      <c r="U8" s="1178"/>
      <c r="V8" s="1178"/>
      <c r="W8" s="1178"/>
      <c r="X8" s="643">
        <f t="shared" si="3"/>
        <v>5</v>
      </c>
    </row>
    <row r="9" spans="1:24" x14ac:dyDescent="0.25">
      <c r="A9" s="1290"/>
      <c r="B9" s="1291"/>
      <c r="C9" s="1080">
        <v>45206</v>
      </c>
      <c r="D9" s="657" t="str">
        <f t="shared" si="0"/>
        <v>So</v>
      </c>
      <c r="E9" s="724">
        <f t="shared" si="1"/>
        <v>0</v>
      </c>
      <c r="F9" s="1079">
        <f t="shared" si="2"/>
        <v>0</v>
      </c>
      <c r="G9" s="724"/>
      <c r="H9" s="724"/>
      <c r="I9" s="724"/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1178"/>
      <c r="U9" s="1178"/>
      <c r="V9" s="1178"/>
      <c r="W9" s="1178"/>
      <c r="X9" s="643">
        <f t="shared" si="3"/>
        <v>6</v>
      </c>
    </row>
    <row r="10" spans="1:24" x14ac:dyDescent="0.25">
      <c r="A10" s="1290"/>
      <c r="B10" s="1291"/>
      <c r="C10" s="1080">
        <v>45207</v>
      </c>
      <c r="D10" s="657" t="str">
        <f t="shared" si="0"/>
        <v>Ne</v>
      </c>
      <c r="E10" s="724">
        <f t="shared" si="1"/>
        <v>0</v>
      </c>
      <c r="F10" s="1079">
        <f t="shared" si="2"/>
        <v>0</v>
      </c>
      <c r="G10" s="724"/>
      <c r="H10" s="724"/>
      <c r="I10" s="724"/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0</v>
      </c>
      <c r="T10" s="1178"/>
      <c r="U10" s="1178"/>
      <c r="V10" s="1178"/>
      <c r="W10" s="1178"/>
      <c r="X10" s="643">
        <f t="shared" si="3"/>
        <v>7</v>
      </c>
    </row>
    <row r="11" spans="1:24" x14ac:dyDescent="0.25">
      <c r="A11" s="1290"/>
      <c r="B11" s="1291"/>
      <c r="C11" s="1080">
        <v>45208</v>
      </c>
      <c r="D11" s="657" t="str">
        <f t="shared" si="0"/>
        <v>Po</v>
      </c>
      <c r="E11" s="724">
        <f t="shared" si="1"/>
        <v>0</v>
      </c>
      <c r="F11" s="1079">
        <f t="shared" si="2"/>
        <v>0</v>
      </c>
      <c r="G11" s="724"/>
      <c r="H11" s="724"/>
      <c r="I11" s="724"/>
      <c r="J11" s="654"/>
      <c r="K11" s="657"/>
      <c r="L11" s="654"/>
      <c r="M11" s="657"/>
      <c r="N11" s="654"/>
      <c r="O11" s="657"/>
      <c r="P11" s="714"/>
      <c r="Q11" s="1083">
        <f>(Q3*400)</f>
        <v>0</v>
      </c>
      <c r="R11" s="1088">
        <f>SUM(R3*400)</f>
        <v>0</v>
      </c>
      <c r="S11" s="719"/>
      <c r="T11" s="1178"/>
      <c r="U11" s="1178"/>
      <c r="V11" s="1178"/>
      <c r="W11" s="1178"/>
      <c r="X11" s="643">
        <f t="shared" si="3"/>
        <v>1</v>
      </c>
    </row>
    <row r="12" spans="1:24" x14ac:dyDescent="0.25">
      <c r="A12" s="1289"/>
      <c r="B12" s="1292"/>
      <c r="C12" s="1080">
        <v>45209</v>
      </c>
      <c r="D12" s="657" t="str">
        <f t="shared" si="0"/>
        <v>Út</v>
      </c>
      <c r="E12" s="724">
        <f t="shared" si="1"/>
        <v>0</v>
      </c>
      <c r="F12" s="1079">
        <f t="shared" si="2"/>
        <v>0</v>
      </c>
      <c r="G12" s="724"/>
      <c r="H12" s="724"/>
      <c r="I12" s="724"/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1178"/>
      <c r="T12" s="1178"/>
      <c r="U12" s="1178"/>
      <c r="V12" s="1178"/>
      <c r="W12" s="1178"/>
      <c r="X12" s="643">
        <f t="shared" si="3"/>
        <v>2</v>
      </c>
    </row>
    <row r="13" spans="1:24" x14ac:dyDescent="0.25">
      <c r="A13" s="1289"/>
      <c r="B13" s="1292"/>
      <c r="C13" s="1080">
        <v>45210</v>
      </c>
      <c r="D13" s="657" t="str">
        <f t="shared" si="0"/>
        <v>St</v>
      </c>
      <c r="E13" s="724">
        <f t="shared" si="1"/>
        <v>0</v>
      </c>
      <c r="F13" s="1079">
        <f t="shared" si="2"/>
        <v>0</v>
      </c>
      <c r="G13" s="724"/>
      <c r="H13" s="724"/>
      <c r="I13" s="724"/>
      <c r="J13" s="654"/>
      <c r="K13" s="657"/>
      <c r="L13" s="654"/>
      <c r="M13" s="657"/>
      <c r="N13" s="654"/>
      <c r="O13" s="657"/>
      <c r="P13" s="714"/>
      <c r="Q13" s="1083">
        <f>(Q11+Q21+Q19-Q23)-Q15-R25</f>
        <v>-37020.797700000003</v>
      </c>
      <c r="R13" s="1088">
        <f>(R11+R19+R21-R23)-R15-R25</f>
        <v>0</v>
      </c>
      <c r="S13" s="1178"/>
      <c r="T13" s="1178"/>
      <c r="U13" s="1178"/>
      <c r="V13" s="1178"/>
      <c r="W13" s="1178"/>
      <c r="X13" s="643">
        <f t="shared" si="3"/>
        <v>3</v>
      </c>
    </row>
    <row r="14" spans="1:24" x14ac:dyDescent="0.25">
      <c r="A14" s="1289"/>
      <c r="B14" s="1292"/>
      <c r="C14" s="1080">
        <v>45211</v>
      </c>
      <c r="D14" s="657" t="str">
        <f t="shared" si="0"/>
        <v>Čt</v>
      </c>
      <c r="E14" s="724">
        <f t="shared" si="1"/>
        <v>0</v>
      </c>
      <c r="F14" s="1079">
        <f t="shared" si="2"/>
        <v>0</v>
      </c>
      <c r="G14" s="724"/>
      <c r="H14" s="724"/>
      <c r="I14" s="724"/>
      <c r="J14" s="654"/>
      <c r="K14" s="657"/>
      <c r="L14" s="654"/>
      <c r="M14" s="657"/>
      <c r="N14" s="654"/>
      <c r="O14" s="657"/>
      <c r="P14" s="714"/>
      <c r="Q14" s="654" t="s">
        <v>26</v>
      </c>
      <c r="R14" s="1088" t="s">
        <v>26</v>
      </c>
      <c r="S14" s="1178"/>
      <c r="T14" s="1178"/>
      <c r="U14" s="1178"/>
      <c r="V14" s="1178"/>
      <c r="W14" s="1178"/>
      <c r="X14" s="643">
        <f t="shared" si="3"/>
        <v>4</v>
      </c>
    </row>
    <row r="15" spans="1:24" x14ac:dyDescent="0.25">
      <c r="A15" s="1289"/>
      <c r="B15" s="1292"/>
      <c r="C15" s="1080">
        <v>45212</v>
      </c>
      <c r="D15" s="657" t="str">
        <f t="shared" si="0"/>
        <v>Pá</v>
      </c>
      <c r="E15" s="724">
        <f t="shared" si="1"/>
        <v>0</v>
      </c>
      <c r="F15" s="1079">
        <f t="shared" si="2"/>
        <v>0</v>
      </c>
      <c r="G15" s="724"/>
      <c r="H15" s="724"/>
      <c r="I15" s="724"/>
      <c r="J15" s="654"/>
      <c r="K15" s="657"/>
      <c r="L15" s="654"/>
      <c r="M15" s="657"/>
      <c r="N15" s="654"/>
      <c r="O15" s="657"/>
      <c r="P15" s="714"/>
      <c r="Q15" s="1083">
        <f>(Q17*25.53)</f>
        <v>37020.797700000003</v>
      </c>
      <c r="R15" s="1088">
        <f>(R17*25.53)</f>
        <v>0</v>
      </c>
      <c r="S15" s="923" t="s">
        <v>458</v>
      </c>
      <c r="T15" s="1004">
        <f>R15+R23-R19</f>
        <v>0</v>
      </c>
      <c r="U15" s="1007"/>
      <c r="V15" s="923" t="s">
        <v>462</v>
      </c>
      <c r="W15" s="1004">
        <f>R15+R23</f>
        <v>0</v>
      </c>
      <c r="X15" s="643">
        <f t="shared" si="3"/>
        <v>5</v>
      </c>
    </row>
    <row r="16" spans="1:24" x14ac:dyDescent="0.25">
      <c r="A16" s="1289"/>
      <c r="B16" s="1292"/>
      <c r="C16" s="1080">
        <v>45213</v>
      </c>
      <c r="D16" s="657" t="str">
        <f t="shared" si="0"/>
        <v>So</v>
      </c>
      <c r="E16" s="724">
        <f t="shared" si="1"/>
        <v>0</v>
      </c>
      <c r="F16" s="1079">
        <f t="shared" si="2"/>
        <v>0</v>
      </c>
      <c r="G16" s="724"/>
      <c r="H16" s="724"/>
      <c r="I16" s="724"/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179" t="s">
        <v>459</v>
      </c>
      <c r="T16" s="1180">
        <f>R11</f>
        <v>0</v>
      </c>
      <c r="U16" s="1008"/>
      <c r="V16" s="1179" t="s">
        <v>463</v>
      </c>
      <c r="W16" s="1180">
        <f>R11+R19+R21+Q29</f>
        <v>0</v>
      </c>
      <c r="X16" s="643">
        <f t="shared" si="3"/>
        <v>6</v>
      </c>
    </row>
    <row r="17" spans="1:24" x14ac:dyDescent="0.25">
      <c r="A17" s="1289"/>
      <c r="B17" s="1292"/>
      <c r="C17" s="1080">
        <v>45214</v>
      </c>
      <c r="D17" s="657" t="str">
        <f t="shared" si="0"/>
        <v>Ne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154">
        <f>'05cash'!O44</f>
        <v>1450.0900000000001</v>
      </c>
      <c r="R17" s="1089">
        <v>0</v>
      </c>
      <c r="S17" s="1179"/>
      <c r="T17" s="1181">
        <f>T16-T15</f>
        <v>0</v>
      </c>
      <c r="U17" s="1008"/>
      <c r="V17" s="1179" t="s">
        <v>513</v>
      </c>
      <c r="W17" s="1180">
        <f>W16-W15</f>
        <v>0</v>
      </c>
      <c r="X17" s="643">
        <f t="shared" si="3"/>
        <v>7</v>
      </c>
    </row>
    <row r="18" spans="1:24" x14ac:dyDescent="0.25">
      <c r="A18" s="1289"/>
      <c r="B18" s="1292"/>
      <c r="C18" s="1080">
        <v>45215</v>
      </c>
      <c r="D18" s="657" t="str">
        <f t="shared" si="0"/>
        <v>Po</v>
      </c>
      <c r="E18" s="724">
        <f t="shared" si="1"/>
        <v>0</v>
      </c>
      <c r="F18" s="1079">
        <f t="shared" si="2"/>
        <v>0</v>
      </c>
      <c r="G18" s="724"/>
      <c r="H18" s="724"/>
      <c r="I18" s="724"/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180">
        <f>T17-S6-S8</f>
        <v>0</v>
      </c>
      <c r="T18" s="1179"/>
      <c r="U18" s="1009"/>
      <c r="V18" s="1179" t="s">
        <v>514</v>
      </c>
      <c r="W18" s="1180">
        <f>W17-S6-S8</f>
        <v>0</v>
      </c>
      <c r="X18" s="643">
        <f t="shared" si="3"/>
        <v>1</v>
      </c>
    </row>
    <row r="19" spans="1:24" x14ac:dyDescent="0.25">
      <c r="A19" s="1290"/>
      <c r="B19" s="1291"/>
      <c r="C19" s="1080">
        <v>45216</v>
      </c>
      <c r="D19" s="657" t="str">
        <f t="shared" si="0"/>
        <v>Út</v>
      </c>
      <c r="E19" s="724">
        <f t="shared" si="1"/>
        <v>0</v>
      </c>
      <c r="F19" s="1079">
        <f t="shared" si="2"/>
        <v>0</v>
      </c>
      <c r="G19" s="724"/>
      <c r="H19" s="724"/>
      <c r="I19" s="724"/>
      <c r="J19" s="654"/>
      <c r="K19" s="657"/>
      <c r="L19" s="654"/>
      <c r="M19" s="657"/>
      <c r="N19" s="654"/>
      <c r="O19" s="657"/>
      <c r="P19" s="714"/>
      <c r="Q19" s="1083"/>
      <c r="R19" s="1088"/>
      <c r="S19" s="1179"/>
      <c r="T19" s="1179"/>
      <c r="U19" s="1008"/>
      <c r="V19" s="1179"/>
      <c r="W19" s="1179"/>
      <c r="X19" s="643">
        <f t="shared" si="3"/>
        <v>2</v>
      </c>
    </row>
    <row r="20" spans="1:24" x14ac:dyDescent="0.25">
      <c r="A20" s="1290"/>
      <c r="B20" s="1291"/>
      <c r="C20" s="1080">
        <v>45217</v>
      </c>
      <c r="D20" s="657" t="str">
        <f t="shared" si="0"/>
        <v>St</v>
      </c>
      <c r="E20" s="724">
        <f t="shared" si="1"/>
        <v>0</v>
      </c>
      <c r="F20" s="1079">
        <f t="shared" si="2"/>
        <v>0</v>
      </c>
      <c r="G20" s="724"/>
      <c r="H20" s="724"/>
      <c r="I20" s="724"/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179"/>
      <c r="T20" s="1179"/>
      <c r="U20" s="1008"/>
      <c r="V20" s="1179"/>
      <c r="W20" s="1179"/>
      <c r="X20" s="643">
        <f t="shared" si="3"/>
        <v>3</v>
      </c>
    </row>
    <row r="21" spans="1:24" x14ac:dyDescent="0.25">
      <c r="A21" s="1290"/>
      <c r="B21" s="1291"/>
      <c r="C21" s="1080">
        <v>45218</v>
      </c>
      <c r="D21" s="657" t="str">
        <f t="shared" si="0"/>
        <v>Čt</v>
      </c>
      <c r="E21" s="724">
        <f t="shared" si="1"/>
        <v>0</v>
      </c>
      <c r="F21" s="1079">
        <f t="shared" si="2"/>
        <v>0</v>
      </c>
      <c r="G21" s="724"/>
      <c r="H21" s="724"/>
      <c r="I21" s="724"/>
      <c r="J21" s="654"/>
      <c r="K21" s="657"/>
      <c r="L21" s="654"/>
      <c r="M21" s="657"/>
      <c r="N21" s="654"/>
      <c r="O21" s="657"/>
      <c r="P21" s="714"/>
      <c r="Q21" s="1083">
        <f>W3</f>
        <v>0</v>
      </c>
      <c r="R21" s="1088">
        <v>0</v>
      </c>
      <c r="S21" s="1179"/>
      <c r="T21" s="1179"/>
      <c r="U21" s="1008"/>
      <c r="V21" s="1179"/>
      <c r="W21" s="1179"/>
      <c r="X21" s="643">
        <f t="shared" si="3"/>
        <v>4</v>
      </c>
    </row>
    <row r="22" spans="1:24" x14ac:dyDescent="0.25">
      <c r="A22" s="1290"/>
      <c r="B22" s="1291"/>
      <c r="C22" s="1080">
        <v>45219</v>
      </c>
      <c r="D22" s="657" t="str">
        <f t="shared" si="0"/>
        <v>Pá</v>
      </c>
      <c r="E22" s="724">
        <f t="shared" si="1"/>
        <v>0</v>
      </c>
      <c r="F22" s="1079">
        <f t="shared" si="2"/>
        <v>0</v>
      </c>
      <c r="G22" s="724"/>
      <c r="H22" s="724"/>
      <c r="I22" s="724"/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179"/>
      <c r="T22" s="1179"/>
      <c r="U22" s="1008"/>
      <c r="V22" s="1179"/>
      <c r="W22" s="1179"/>
      <c r="X22" s="643">
        <f t="shared" si="3"/>
        <v>5</v>
      </c>
    </row>
    <row r="23" spans="1:24" x14ac:dyDescent="0.25">
      <c r="A23" s="1290"/>
      <c r="B23" s="1291"/>
      <c r="C23" s="1080">
        <v>45220</v>
      </c>
      <c r="D23" s="657" t="str">
        <f t="shared" si="0"/>
        <v>So</v>
      </c>
      <c r="E23" s="724">
        <f t="shared" si="1"/>
        <v>0</v>
      </c>
      <c r="F23" s="1079">
        <f t="shared" si="2"/>
        <v>0</v>
      </c>
      <c r="G23" s="724"/>
      <c r="H23" s="724"/>
      <c r="I23" s="724"/>
      <c r="J23" s="654"/>
      <c r="K23" s="657"/>
      <c r="L23" s="654"/>
      <c r="M23" s="657"/>
      <c r="N23" s="654"/>
      <c r="O23" s="657"/>
      <c r="P23" s="714"/>
      <c r="Q23" s="1083">
        <v>0</v>
      </c>
      <c r="R23" s="1088">
        <v>0</v>
      </c>
      <c r="S23" s="1179"/>
      <c r="T23" s="1017"/>
      <c r="U23" s="1178"/>
      <c r="V23" s="1179"/>
      <c r="W23" s="1179"/>
      <c r="X23" s="643">
        <f t="shared" si="3"/>
        <v>6</v>
      </c>
    </row>
    <row r="24" spans="1:24" x14ac:dyDescent="0.25">
      <c r="A24" s="1290"/>
      <c r="B24" s="1291"/>
      <c r="C24" s="1080">
        <v>45221</v>
      </c>
      <c r="D24" s="657" t="str">
        <f t="shared" si="0"/>
        <v>Ne</v>
      </c>
      <c r="E24" s="724">
        <f t="shared" si="1"/>
        <v>0</v>
      </c>
      <c r="F24" s="1079">
        <f t="shared" si="2"/>
        <v>0</v>
      </c>
      <c r="G24" s="724"/>
      <c r="H24" s="724"/>
      <c r="I24" s="724"/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182">
        <f>S18-R25</f>
        <v>0</v>
      </c>
      <c r="T24" s="1018"/>
      <c r="U24" s="1182">
        <f>W18-Q27</f>
        <v>0</v>
      </c>
      <c r="V24" s="1179"/>
      <c r="W24" s="1179"/>
      <c r="X24" s="643">
        <f t="shared" si="3"/>
        <v>7</v>
      </c>
    </row>
    <row r="25" spans="1:24" x14ac:dyDescent="0.25">
      <c r="A25" s="1290"/>
      <c r="B25" s="1291"/>
      <c r="C25" s="1080">
        <v>45222</v>
      </c>
      <c r="D25" s="657" t="str">
        <f t="shared" si="0"/>
        <v>Po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0</v>
      </c>
      <c r="R25" s="1088">
        <f>Q27-Q29</f>
        <v>0</v>
      </c>
      <c r="S25" s="1020"/>
      <c r="T25" s="1019"/>
      <c r="U25" s="1006"/>
      <c r="V25" s="1006"/>
      <c r="W25" s="1006"/>
      <c r="X25" s="643">
        <f t="shared" si="3"/>
        <v>1</v>
      </c>
    </row>
    <row r="26" spans="1:24" x14ac:dyDescent="0.25">
      <c r="A26" s="1289"/>
      <c r="B26" s="1292"/>
      <c r="C26" s="1080">
        <v>45223</v>
      </c>
      <c r="D26" s="657" t="str">
        <f t="shared" si="0"/>
        <v>Út</v>
      </c>
      <c r="E26" s="724">
        <f t="shared" si="1"/>
        <v>0</v>
      </c>
      <c r="F26" s="1079">
        <f t="shared" si="2"/>
        <v>0</v>
      </c>
      <c r="G26" s="724"/>
      <c r="H26" s="724"/>
      <c r="I26" s="724"/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1178"/>
      <c r="T26" s="1178"/>
      <c r="U26" s="1178"/>
      <c r="V26" s="1178"/>
      <c r="W26" s="1178"/>
      <c r="X26" s="643">
        <f t="shared" si="3"/>
        <v>2</v>
      </c>
    </row>
    <row r="27" spans="1:24" x14ac:dyDescent="0.25">
      <c r="A27" s="1289"/>
      <c r="B27" s="1292"/>
      <c r="C27" s="1080">
        <v>45224</v>
      </c>
      <c r="D27" s="657" t="str">
        <f t="shared" si="0"/>
        <v>St</v>
      </c>
      <c r="E27" s="724">
        <f t="shared" si="1"/>
        <v>0</v>
      </c>
      <c r="F27" s="1079">
        <f t="shared" si="2"/>
        <v>0</v>
      </c>
      <c r="G27" s="724"/>
      <c r="H27" s="724"/>
      <c r="I27" s="724"/>
      <c r="J27" s="654"/>
      <c r="K27" s="657"/>
      <c r="L27" s="654"/>
      <c r="M27" s="657"/>
      <c r="N27" s="654"/>
      <c r="O27" s="657"/>
      <c r="P27" s="714"/>
      <c r="Q27" s="1083">
        <v>0</v>
      </c>
      <c r="R27" s="1088"/>
      <c r="S27" s="1178"/>
      <c r="T27" s="1178"/>
      <c r="U27" s="1178"/>
      <c r="V27" s="1178"/>
      <c r="W27" s="1178"/>
      <c r="X27" s="643">
        <f t="shared" si="3"/>
        <v>3</v>
      </c>
    </row>
    <row r="28" spans="1:24" x14ac:dyDescent="0.25">
      <c r="A28" s="1289"/>
      <c r="B28" s="1292"/>
      <c r="C28" s="1080">
        <v>45225</v>
      </c>
      <c r="D28" s="657" t="str">
        <f t="shared" si="0"/>
        <v>Čt</v>
      </c>
      <c r="E28" s="724">
        <f t="shared" si="1"/>
        <v>0</v>
      </c>
      <c r="F28" s="1079">
        <f t="shared" si="2"/>
        <v>0</v>
      </c>
      <c r="G28" s="724"/>
      <c r="H28" s="724"/>
      <c r="I28" s="724"/>
      <c r="J28" s="654"/>
      <c r="K28" s="657"/>
      <c r="L28" s="654"/>
      <c r="M28" s="657"/>
      <c r="N28" s="654"/>
      <c r="O28" s="657"/>
      <c r="P28" s="714"/>
      <c r="Q28" s="654" t="s">
        <v>373</v>
      </c>
      <c r="R28" s="1026"/>
      <c r="S28" s="1178"/>
      <c r="T28" s="1178"/>
      <c r="U28" s="1178"/>
      <c r="V28" s="1178"/>
      <c r="W28" s="1178"/>
      <c r="X28" s="643">
        <f t="shared" si="3"/>
        <v>4</v>
      </c>
    </row>
    <row r="29" spans="1:24" x14ac:dyDescent="0.25">
      <c r="A29" s="1289"/>
      <c r="B29" s="1292"/>
      <c r="C29" s="1080">
        <v>45226</v>
      </c>
      <c r="D29" s="657" t="str">
        <f t="shared" si="0"/>
        <v>Pá</v>
      </c>
      <c r="E29" s="724">
        <f t="shared" si="1"/>
        <v>0</v>
      </c>
      <c r="F29" s="1079">
        <f t="shared" si="2"/>
        <v>0</v>
      </c>
      <c r="G29" s="724"/>
      <c r="H29" s="724"/>
      <c r="I29" s="724"/>
      <c r="J29" s="654"/>
      <c r="K29" s="657"/>
      <c r="L29" s="654"/>
      <c r="M29" s="657"/>
      <c r="N29" s="654"/>
      <c r="O29" s="657"/>
      <c r="P29" s="714"/>
      <c r="Q29" s="1083">
        <f>'09hod23'!Q27</f>
        <v>0</v>
      </c>
      <c r="R29" s="1026"/>
      <c r="S29" s="1178"/>
      <c r="T29" s="1178"/>
      <c r="U29" s="1178"/>
      <c r="V29" s="1178"/>
      <c r="W29" s="1178"/>
      <c r="X29" s="643">
        <f t="shared" si="3"/>
        <v>5</v>
      </c>
    </row>
    <row r="30" spans="1:24" x14ac:dyDescent="0.25">
      <c r="A30" s="1289"/>
      <c r="B30" s="1292"/>
      <c r="C30" s="1080">
        <v>45227</v>
      </c>
      <c r="D30" s="657" t="str">
        <f t="shared" si="0"/>
        <v>So</v>
      </c>
      <c r="E30" s="724">
        <f t="shared" si="1"/>
        <v>0</v>
      </c>
      <c r="F30" s="1079">
        <f t="shared" si="2"/>
        <v>0</v>
      </c>
      <c r="G30" s="724"/>
      <c r="H30" s="724"/>
      <c r="I30" s="724"/>
      <c r="J30" s="654"/>
      <c r="K30" s="657"/>
      <c r="L30" s="654"/>
      <c r="M30" s="657"/>
      <c r="N30" s="654"/>
      <c r="O30" s="657"/>
      <c r="P30" s="714"/>
      <c r="Q30" s="1083"/>
      <c r="R30" s="1083"/>
      <c r="S30" s="1178"/>
      <c r="T30" s="1178"/>
      <c r="U30" s="1178"/>
      <c r="V30" s="1178"/>
      <c r="W30" s="1178"/>
      <c r="X30" s="643">
        <f t="shared" si="3"/>
        <v>6</v>
      </c>
    </row>
    <row r="31" spans="1:24" x14ac:dyDescent="0.25">
      <c r="A31" s="1289"/>
      <c r="B31" s="1292"/>
      <c r="C31" s="1080">
        <v>45228</v>
      </c>
      <c r="D31" s="657" t="str">
        <f t="shared" si="0"/>
        <v>Ne</v>
      </c>
      <c r="E31" s="724">
        <f t="shared" si="1"/>
        <v>0</v>
      </c>
      <c r="F31" s="1079">
        <f t="shared" si="2"/>
        <v>0</v>
      </c>
      <c r="G31" s="724"/>
      <c r="H31" s="724"/>
      <c r="I31" s="724"/>
      <c r="J31" s="654"/>
      <c r="K31" s="657"/>
      <c r="L31" s="654"/>
      <c r="M31" s="657"/>
      <c r="N31" s="654"/>
      <c r="O31" s="657"/>
      <c r="P31" s="714"/>
      <c r="Q31" s="918"/>
      <c r="R31" s="1091"/>
      <c r="S31" s="1178"/>
      <c r="T31" s="1178"/>
      <c r="U31" s="1178"/>
      <c r="V31" s="1178"/>
      <c r="W31" s="1178"/>
      <c r="X31" s="643">
        <f t="shared" si="3"/>
        <v>7</v>
      </c>
    </row>
    <row r="32" spans="1:24" x14ac:dyDescent="0.25">
      <c r="A32" s="1289"/>
      <c r="B32" s="1292"/>
      <c r="C32" s="1080">
        <v>45229</v>
      </c>
      <c r="D32" s="657" t="str">
        <f t="shared" si="0"/>
        <v>Po</v>
      </c>
      <c r="E32" s="724">
        <f t="shared" si="1"/>
        <v>0</v>
      </c>
      <c r="F32" s="1079">
        <f t="shared" si="2"/>
        <v>0</v>
      </c>
      <c r="G32" s="724"/>
      <c r="H32" s="724"/>
      <c r="I32" s="724"/>
      <c r="J32" s="654"/>
      <c r="K32" s="657"/>
      <c r="L32" s="654"/>
      <c r="M32" s="657"/>
      <c r="N32" s="654"/>
      <c r="O32" s="657"/>
      <c r="P32" s="714"/>
      <c r="Q32" s="654"/>
      <c r="R32" s="1026"/>
      <c r="S32" s="1178"/>
      <c r="T32" s="1178"/>
      <c r="U32" s="1178"/>
      <c r="V32" s="1178"/>
      <c r="W32" s="1178"/>
      <c r="X32" s="643">
        <f t="shared" si="3"/>
        <v>1</v>
      </c>
    </row>
    <row r="33" spans="1:24" x14ac:dyDescent="0.25">
      <c r="A33" s="1289"/>
      <c r="B33" s="1292"/>
      <c r="C33" s="1080">
        <v>45230</v>
      </c>
      <c r="D33" s="657" t="str">
        <f t="shared" si="0"/>
        <v>Út</v>
      </c>
      <c r="E33" s="724">
        <f t="shared" si="1"/>
        <v>0</v>
      </c>
      <c r="F33" s="1079">
        <f t="shared" si="2"/>
        <v>0</v>
      </c>
      <c r="G33" s="724"/>
      <c r="H33" s="724"/>
      <c r="I33" s="724"/>
      <c r="J33" s="654"/>
      <c r="K33" s="657"/>
      <c r="L33" s="654"/>
      <c r="M33" s="657"/>
      <c r="N33" s="654"/>
      <c r="O33" s="657"/>
      <c r="P33" s="714"/>
      <c r="Q33" s="654"/>
      <c r="R33" s="1026"/>
      <c r="S33" s="1178"/>
      <c r="T33" s="1178"/>
      <c r="U33" s="1178"/>
      <c r="V33" s="1178"/>
      <c r="W33" s="1178"/>
      <c r="X33" s="643">
        <f t="shared" si="3"/>
        <v>2</v>
      </c>
    </row>
    <row r="34" spans="1:24" x14ac:dyDescent="0.25">
      <c r="A34" s="1290"/>
      <c r="B34" s="1291"/>
      <c r="C34" s="1080">
        <v>45231</v>
      </c>
      <c r="D34" s="657" t="str">
        <f t="shared" si="0"/>
        <v>St</v>
      </c>
      <c r="E34" s="724">
        <f t="shared" si="1"/>
        <v>0</v>
      </c>
      <c r="F34" s="1079">
        <f t="shared" si="2"/>
        <v>0</v>
      </c>
      <c r="G34" s="724"/>
      <c r="H34" s="724"/>
      <c r="I34" s="724"/>
      <c r="J34" s="654"/>
      <c r="K34" s="657"/>
      <c r="L34" s="654"/>
      <c r="M34" s="657"/>
      <c r="N34" s="654"/>
      <c r="O34" s="657"/>
      <c r="P34" s="714"/>
      <c r="Q34" s="654"/>
      <c r="R34" s="1026"/>
      <c r="S34" s="1178"/>
      <c r="T34" s="1178"/>
      <c r="U34" s="1178"/>
      <c r="V34" s="1178"/>
      <c r="W34" s="1178"/>
      <c r="X34" s="643">
        <f t="shared" si="3"/>
        <v>3</v>
      </c>
    </row>
    <row r="35" spans="1:24" x14ac:dyDescent="0.25">
      <c r="A35" s="1290"/>
      <c r="B35" s="1291"/>
      <c r="C35" s="1080">
        <v>45232</v>
      </c>
      <c r="D35" s="657" t="str">
        <f t="shared" si="0"/>
        <v>Čt</v>
      </c>
      <c r="E35" s="724">
        <f t="shared" si="1"/>
        <v>0</v>
      </c>
      <c r="F35" s="1079">
        <f t="shared" si="2"/>
        <v>0</v>
      </c>
      <c r="G35" s="724"/>
      <c r="H35" s="724"/>
      <c r="I35" s="724"/>
      <c r="J35" s="654"/>
      <c r="K35" s="657"/>
      <c r="L35" s="654"/>
      <c r="M35" s="657"/>
      <c r="N35" s="654"/>
      <c r="O35" s="657"/>
      <c r="P35" s="714"/>
      <c r="Q35" s="654"/>
      <c r="R35" s="1026"/>
      <c r="S35" s="1178"/>
      <c r="T35" s="1178"/>
      <c r="U35" s="1178"/>
      <c r="V35" s="1178"/>
      <c r="W35" s="1178"/>
      <c r="X35" s="643">
        <f t="shared" si="3"/>
        <v>4</v>
      </c>
    </row>
    <row r="36" spans="1:24" ht="15.75" thickBot="1" x14ac:dyDescent="0.3">
      <c r="A36" s="1290"/>
      <c r="B36" s="1291"/>
      <c r="C36" s="1080">
        <v>45233</v>
      </c>
      <c r="D36" s="658" t="str">
        <f t="shared" si="0"/>
        <v>Pá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1178"/>
      <c r="T36" s="1178"/>
      <c r="U36" s="1178"/>
      <c r="V36" s="1178"/>
      <c r="W36" s="1178"/>
      <c r="X36" s="643">
        <f t="shared" si="3"/>
        <v>5</v>
      </c>
    </row>
    <row r="39" spans="1:24" x14ac:dyDescent="0.25">
      <c r="G39" s="731"/>
      <c r="H39" s="731"/>
      <c r="Q39" s="731"/>
    </row>
    <row r="40" spans="1:24" x14ac:dyDescent="0.25">
      <c r="E40" s="733"/>
      <c r="G40" s="732"/>
      <c r="H40" s="732"/>
    </row>
    <row r="41" spans="1:24" x14ac:dyDescent="0.25">
      <c r="H41" s="731">
        <f>TIME(0,30,0)</f>
        <v>2.0833333333333332E-2</v>
      </c>
      <c r="Q41" s="732">
        <f>SUM(E3:E11)</f>
        <v>0</v>
      </c>
      <c r="R41" t="s">
        <v>315</v>
      </c>
    </row>
    <row r="42" spans="1:24" x14ac:dyDescent="0.25">
      <c r="H42" s="731">
        <f>TIME(1,0,0)</f>
        <v>4.1666666666666664E-2</v>
      </c>
      <c r="Q42" s="732">
        <f>SUM(E12:E33)</f>
        <v>0</v>
      </c>
      <c r="R42" t="s">
        <v>316</v>
      </c>
    </row>
    <row r="46" spans="1:24" x14ac:dyDescent="0.25">
      <c r="E46" s="731"/>
    </row>
  </sheetData>
  <mergeCells count="12">
    <mergeCell ref="A3:A4"/>
    <mergeCell ref="B3:B4"/>
    <mergeCell ref="A5:A11"/>
    <mergeCell ref="B5:B11"/>
    <mergeCell ref="A12:A18"/>
    <mergeCell ref="B12:B18"/>
    <mergeCell ref="A19:A25"/>
    <mergeCell ref="B19:B25"/>
    <mergeCell ref="A26:A33"/>
    <mergeCell ref="B26:B33"/>
    <mergeCell ref="A34:A36"/>
    <mergeCell ref="B34:B36"/>
  </mergeCells>
  <pageMargins left="0.7" right="0.7" top="0.75" bottom="0.75" header="0.3" footer="0.3"/>
  <tableParts count="1">
    <tablePart r:id="rId1"/>
  </tableParts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EC67A0-DBA9-1A4D-8190-24B013067658}">
  <dimension ref="A1:X46"/>
  <sheetViews>
    <sheetView topLeftCell="L12" zoomScaleNormal="60" zoomScaleSheetLayoutView="100" workbookViewId="0">
      <selection activeCell="Q18" sqref="Q18"/>
    </sheetView>
  </sheetViews>
  <sheetFormatPr defaultColWidth="8.5703125" defaultRowHeight="15" x14ac:dyDescent="0.25"/>
  <cols>
    <col min="1" max="1" width="8.5703125" bestFit="1" customWidth="1"/>
    <col min="2" max="2" width="9.140625" customWidth="1"/>
    <col min="3" max="3" width="11" bestFit="1" customWidth="1"/>
    <col min="4" max="4" width="7.42578125" bestFit="1" customWidth="1"/>
    <col min="5" max="5" width="17.4257812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8.7109375" bestFit="1" customWidth="1"/>
    <col min="21" max="21" width="13" bestFit="1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4" ht="21" x14ac:dyDescent="0.25">
      <c r="A1" s="1196"/>
      <c r="B1" s="1196"/>
    </row>
    <row r="2" spans="1:24" ht="15.75" thickBot="1" x14ac:dyDescent="0.3">
      <c r="A2" s="1193"/>
      <c r="B2" s="1193"/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11</v>
      </c>
      <c r="U2" s="650" t="s">
        <v>12</v>
      </c>
      <c r="V2" s="650" t="s">
        <v>13</v>
      </c>
      <c r="W2" s="650" t="s">
        <v>14</v>
      </c>
    </row>
    <row r="3" spans="1:24" ht="15.75" thickBot="1" x14ac:dyDescent="0.3">
      <c r="A3" s="1289"/>
      <c r="B3" s="1292"/>
      <c r="C3" s="1080">
        <v>45231</v>
      </c>
      <c r="D3" s="656" t="str">
        <f t="shared" ref="D3:D36" si="0">CHOOSE(WEEKDAY(X3),"Po","Út","St","Čt","Pá","So","Ne")</f>
        <v>St</v>
      </c>
      <c r="E3" s="724">
        <f t="shared" ref="E3:E36" si="1">I3-G3-H3</f>
        <v>0.41666666666666669</v>
      </c>
      <c r="F3" s="1079">
        <f t="shared" ref="F3:F36" si="2">(P3*E3)*24</f>
        <v>0</v>
      </c>
      <c r="G3" s="724">
        <v>0.29166666666666669</v>
      </c>
      <c r="H3" s="724"/>
      <c r="I3" s="724">
        <v>0.70833333333333337</v>
      </c>
      <c r="J3" s="654"/>
      <c r="K3" s="657"/>
      <c r="L3" s="654"/>
      <c r="M3" s="656"/>
      <c r="N3" s="654"/>
      <c r="O3" s="657"/>
      <c r="P3" s="713"/>
      <c r="Q3" s="1081">
        <f>(Q5+Q7)</f>
        <v>10</v>
      </c>
      <c r="R3" s="656">
        <f>R5+R7</f>
        <v>0</v>
      </c>
      <c r="S3" s="853">
        <f>'09hod23'!S6</f>
        <v>0</v>
      </c>
      <c r="T3" s="644"/>
      <c r="U3" s="644" t="str">
        <f>'10hod23'!U6</f>
        <v>Výplata za Říjen</v>
      </c>
      <c r="V3" s="875" t="str">
        <f>'10hod23'!V6</f>
        <v>xx.10.2023</v>
      </c>
      <c r="W3" s="722">
        <f>Q7*20</f>
        <v>0</v>
      </c>
      <c r="X3" s="643">
        <f t="shared" ref="X3:X36" si="3">WEEKDAY(C3,2)</f>
        <v>3</v>
      </c>
    </row>
    <row r="4" spans="1:24" x14ac:dyDescent="0.25">
      <c r="A4" s="1289"/>
      <c r="B4" s="1292"/>
      <c r="C4" s="1080">
        <v>45232</v>
      </c>
      <c r="D4" s="657" t="str">
        <f t="shared" si="0"/>
        <v>Čt</v>
      </c>
      <c r="E4" s="724">
        <f t="shared" si="1"/>
        <v>0</v>
      </c>
      <c r="F4" s="1079">
        <f t="shared" si="2"/>
        <v>0</v>
      </c>
      <c r="G4" s="724"/>
      <c r="H4" s="724"/>
      <c r="I4" s="724"/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 t="s">
        <v>48</v>
      </c>
      <c r="U4" s="611" t="s">
        <v>48</v>
      </c>
      <c r="V4" s="874"/>
      <c r="W4" s="1178"/>
      <c r="X4" s="643">
        <f t="shared" si="3"/>
        <v>4</v>
      </c>
    </row>
    <row r="5" spans="1:24" x14ac:dyDescent="0.25">
      <c r="A5" s="1290"/>
      <c r="B5" s="1291"/>
      <c r="C5" s="1080">
        <v>45233</v>
      </c>
      <c r="D5" s="657" t="str">
        <f t="shared" si="0"/>
        <v>Pá</v>
      </c>
      <c r="E5" s="724">
        <f t="shared" si="1"/>
        <v>0</v>
      </c>
      <c r="F5" s="1079">
        <f t="shared" si="2"/>
        <v>0</v>
      </c>
      <c r="G5" s="724"/>
      <c r="H5" s="724"/>
      <c r="I5" s="724"/>
      <c r="J5" s="654"/>
      <c r="K5" s="657"/>
      <c r="L5" s="654"/>
      <c r="M5" s="657"/>
      <c r="N5" s="654"/>
      <c r="O5" s="657"/>
      <c r="P5" s="714"/>
      <c r="Q5" s="1082">
        <f>Q41*24</f>
        <v>10</v>
      </c>
      <c r="R5" s="657">
        <v>0</v>
      </c>
      <c r="S5" s="738">
        <v>0</v>
      </c>
      <c r="T5" s="611"/>
      <c r="U5" s="611" t="s">
        <v>158</v>
      </c>
      <c r="V5" s="646"/>
      <c r="W5" s="1178"/>
      <c r="X5" s="643">
        <f t="shared" si="3"/>
        <v>5</v>
      </c>
    </row>
    <row r="6" spans="1:24" x14ac:dyDescent="0.25">
      <c r="A6" s="1290"/>
      <c r="B6" s="1291"/>
      <c r="C6" s="1080">
        <v>45234</v>
      </c>
      <c r="D6" s="657" t="str">
        <f t="shared" si="0"/>
        <v>So</v>
      </c>
      <c r="E6" s="724">
        <f t="shared" si="1"/>
        <v>0</v>
      </c>
      <c r="F6" s="1079">
        <f t="shared" si="2"/>
        <v>0</v>
      </c>
      <c r="G6" s="724"/>
      <c r="H6" s="724"/>
      <c r="I6" s="724"/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/>
      <c r="U6" s="611" t="s">
        <v>431</v>
      </c>
      <c r="V6" s="646" t="s">
        <v>655</v>
      </c>
      <c r="W6" s="1178"/>
      <c r="X6" s="643">
        <f t="shared" si="3"/>
        <v>6</v>
      </c>
    </row>
    <row r="7" spans="1:24" ht="15.75" thickBot="1" x14ac:dyDescent="0.3">
      <c r="A7" s="1290"/>
      <c r="B7" s="1291"/>
      <c r="C7" s="1080">
        <v>45235</v>
      </c>
      <c r="D7" s="657" t="str">
        <f t="shared" si="0"/>
        <v>Ne</v>
      </c>
      <c r="E7" s="724">
        <f t="shared" si="1"/>
        <v>0</v>
      </c>
      <c r="F7" s="1079">
        <f t="shared" si="2"/>
        <v>0</v>
      </c>
      <c r="G7" s="724"/>
      <c r="H7" s="724"/>
      <c r="I7" s="724"/>
      <c r="J7" s="654"/>
      <c r="K7" s="657"/>
      <c r="L7" s="654"/>
      <c r="M7" s="657"/>
      <c r="N7" s="654"/>
      <c r="O7" s="657"/>
      <c r="P7" s="714"/>
      <c r="Q7" s="1082">
        <f>Q42*24</f>
        <v>0</v>
      </c>
      <c r="R7" s="657">
        <v>0</v>
      </c>
      <c r="S7" s="712" t="s">
        <v>134</v>
      </c>
      <c r="T7" s="647"/>
      <c r="U7" s="647" t="s">
        <v>48</v>
      </c>
      <c r="V7" s="648"/>
      <c r="W7" s="1178"/>
      <c r="X7" s="643">
        <f t="shared" si="3"/>
        <v>7</v>
      </c>
    </row>
    <row r="8" spans="1:24" x14ac:dyDescent="0.25">
      <c r="A8" s="1290"/>
      <c r="B8" s="1291"/>
      <c r="C8" s="1080">
        <v>45236</v>
      </c>
      <c r="D8" s="657" t="str">
        <f t="shared" si="0"/>
        <v>Po</v>
      </c>
      <c r="E8" s="724">
        <f t="shared" si="1"/>
        <v>0</v>
      </c>
      <c r="F8" s="1079">
        <f t="shared" si="2"/>
        <v>0</v>
      </c>
      <c r="G8" s="724"/>
      <c r="H8" s="724"/>
      <c r="I8" s="724"/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0</v>
      </c>
      <c r="T8" s="1178"/>
      <c r="U8" s="1178"/>
      <c r="V8" s="1178"/>
      <c r="W8" s="1178"/>
      <c r="X8" s="643">
        <f t="shared" si="3"/>
        <v>1</v>
      </c>
    </row>
    <row r="9" spans="1:24" x14ac:dyDescent="0.25">
      <c r="A9" s="1290"/>
      <c r="B9" s="1291"/>
      <c r="C9" s="1080">
        <v>45237</v>
      </c>
      <c r="D9" s="657" t="str">
        <f t="shared" si="0"/>
        <v>Út</v>
      </c>
      <c r="E9" s="724">
        <f t="shared" si="1"/>
        <v>0</v>
      </c>
      <c r="F9" s="1079">
        <f t="shared" si="2"/>
        <v>0</v>
      </c>
      <c r="G9" s="724"/>
      <c r="H9" s="724"/>
      <c r="I9" s="724"/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1178"/>
      <c r="U9" s="1178"/>
      <c r="V9" s="1178"/>
      <c r="W9" s="1178"/>
      <c r="X9" s="643">
        <f t="shared" si="3"/>
        <v>2</v>
      </c>
    </row>
    <row r="10" spans="1:24" x14ac:dyDescent="0.25">
      <c r="A10" s="1290"/>
      <c r="B10" s="1291"/>
      <c r="C10" s="1080">
        <v>45238</v>
      </c>
      <c r="D10" s="657" t="str">
        <f t="shared" si="0"/>
        <v>St</v>
      </c>
      <c r="E10" s="724">
        <f t="shared" si="1"/>
        <v>0</v>
      </c>
      <c r="F10" s="1079">
        <f t="shared" si="2"/>
        <v>0</v>
      </c>
      <c r="G10" s="724"/>
      <c r="H10" s="724"/>
      <c r="I10" s="724"/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0</v>
      </c>
      <c r="T10" s="1178"/>
      <c r="U10" s="1178"/>
      <c r="V10" s="1178"/>
      <c r="W10" s="1178"/>
      <c r="X10" s="643">
        <f t="shared" si="3"/>
        <v>3</v>
      </c>
    </row>
    <row r="11" spans="1:24" x14ac:dyDescent="0.25">
      <c r="A11" s="1290"/>
      <c r="B11" s="1291"/>
      <c r="C11" s="1080">
        <v>45239</v>
      </c>
      <c r="D11" s="657" t="str">
        <f t="shared" si="0"/>
        <v>Čt</v>
      </c>
      <c r="E11" s="724">
        <f t="shared" si="1"/>
        <v>0</v>
      </c>
      <c r="F11" s="1079">
        <f t="shared" si="2"/>
        <v>0</v>
      </c>
      <c r="G11" s="724"/>
      <c r="H11" s="724"/>
      <c r="I11" s="724"/>
      <c r="J11" s="654"/>
      <c r="K11" s="657"/>
      <c r="L11" s="654"/>
      <c r="M11" s="657"/>
      <c r="N11" s="654"/>
      <c r="O11" s="657"/>
      <c r="P11" s="714"/>
      <c r="Q11" s="1083">
        <f>(Q3*400)</f>
        <v>4000</v>
      </c>
      <c r="R11" s="1088">
        <f>SUM(R3*400)</f>
        <v>0</v>
      </c>
      <c r="S11" s="719"/>
      <c r="T11" s="1178"/>
      <c r="U11" s="1178"/>
      <c r="V11" s="1178"/>
      <c r="W11" s="1178"/>
      <c r="X11" s="643">
        <f t="shared" si="3"/>
        <v>4</v>
      </c>
    </row>
    <row r="12" spans="1:24" x14ac:dyDescent="0.25">
      <c r="A12" s="1289"/>
      <c r="B12" s="1292"/>
      <c r="C12" s="1080">
        <v>45240</v>
      </c>
      <c r="D12" s="657" t="str">
        <f t="shared" si="0"/>
        <v>Pá</v>
      </c>
      <c r="E12" s="724">
        <f t="shared" si="1"/>
        <v>0</v>
      </c>
      <c r="F12" s="1079">
        <f t="shared" si="2"/>
        <v>0</v>
      </c>
      <c r="G12" s="724"/>
      <c r="H12" s="724"/>
      <c r="I12" s="724"/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1178"/>
      <c r="T12" s="1178"/>
      <c r="U12" s="1178"/>
      <c r="V12" s="1178"/>
      <c r="W12" s="1178"/>
      <c r="X12" s="643">
        <f t="shared" si="3"/>
        <v>5</v>
      </c>
    </row>
    <row r="13" spans="1:24" x14ac:dyDescent="0.25">
      <c r="A13" s="1289"/>
      <c r="B13" s="1292"/>
      <c r="C13" s="1080">
        <v>45241</v>
      </c>
      <c r="D13" s="657" t="str">
        <f t="shared" si="0"/>
        <v>So</v>
      </c>
      <c r="E13" s="724">
        <f t="shared" si="1"/>
        <v>0</v>
      </c>
      <c r="F13" s="1079">
        <f t="shared" si="2"/>
        <v>0</v>
      </c>
      <c r="G13" s="724"/>
      <c r="H13" s="724"/>
      <c r="I13" s="724"/>
      <c r="J13" s="654"/>
      <c r="K13" s="657"/>
      <c r="L13" s="654"/>
      <c r="M13" s="657"/>
      <c r="N13" s="654"/>
      <c r="O13" s="657"/>
      <c r="P13" s="714"/>
      <c r="Q13" s="1083">
        <f>(Q11+Q21+Q19-Q23)-Q15-R25</f>
        <v>-6212</v>
      </c>
      <c r="R13" s="1088">
        <f>(R11+R19+R21-R23)-R15-R25</f>
        <v>0</v>
      </c>
      <c r="S13" s="1178"/>
      <c r="T13" s="1178"/>
      <c r="U13" s="1178"/>
      <c r="V13" s="1178"/>
      <c r="W13" s="1178"/>
      <c r="X13" s="643">
        <f t="shared" si="3"/>
        <v>6</v>
      </c>
    </row>
    <row r="14" spans="1:24" x14ac:dyDescent="0.25">
      <c r="A14" s="1289"/>
      <c r="B14" s="1292"/>
      <c r="C14" s="1080">
        <v>45242</v>
      </c>
      <c r="D14" s="657" t="str">
        <f t="shared" si="0"/>
        <v>Ne</v>
      </c>
      <c r="E14" s="724">
        <f t="shared" si="1"/>
        <v>0</v>
      </c>
      <c r="F14" s="1079">
        <f t="shared" si="2"/>
        <v>0</v>
      </c>
      <c r="G14" s="724"/>
      <c r="H14" s="724"/>
      <c r="I14" s="724"/>
      <c r="J14" s="654"/>
      <c r="K14" s="657"/>
      <c r="L14" s="654"/>
      <c r="M14" s="657"/>
      <c r="N14" s="654"/>
      <c r="O14" s="657"/>
      <c r="P14" s="714"/>
      <c r="Q14" s="654" t="s">
        <v>26</v>
      </c>
      <c r="R14" s="1088" t="s">
        <v>26</v>
      </c>
      <c r="S14" s="1178"/>
      <c r="T14" s="1178"/>
      <c r="U14" s="1178"/>
      <c r="V14" s="1178"/>
      <c r="W14" s="1178"/>
      <c r="X14" s="643">
        <f t="shared" si="3"/>
        <v>7</v>
      </c>
    </row>
    <row r="15" spans="1:24" x14ac:dyDescent="0.25">
      <c r="A15" s="1289"/>
      <c r="B15" s="1292"/>
      <c r="C15" s="1080">
        <v>45243</v>
      </c>
      <c r="D15" s="657" t="str">
        <f t="shared" si="0"/>
        <v>Po</v>
      </c>
      <c r="E15" s="724">
        <f t="shared" si="1"/>
        <v>0</v>
      </c>
      <c r="F15" s="1079">
        <f t="shared" si="2"/>
        <v>0</v>
      </c>
      <c r="G15" s="724"/>
      <c r="H15" s="724"/>
      <c r="I15" s="724"/>
      <c r="J15" s="654"/>
      <c r="K15" s="657"/>
      <c r="L15" s="654"/>
      <c r="M15" s="657"/>
      <c r="N15" s="654"/>
      <c r="O15" s="657"/>
      <c r="P15" s="714"/>
      <c r="Q15" s="1083">
        <f>(Q17*25.53)</f>
        <v>10212</v>
      </c>
      <c r="R15" s="1088">
        <f>(R17*25.53)</f>
        <v>0</v>
      </c>
      <c r="S15" s="923" t="s">
        <v>458</v>
      </c>
      <c r="T15" s="1004">
        <f>R15+R23-R19</f>
        <v>0</v>
      </c>
      <c r="U15" s="1007"/>
      <c r="V15" s="923" t="s">
        <v>462</v>
      </c>
      <c r="W15" s="1004">
        <f>R15+R23</f>
        <v>0</v>
      </c>
      <c r="X15" s="643">
        <f t="shared" si="3"/>
        <v>1</v>
      </c>
    </row>
    <row r="16" spans="1:24" x14ac:dyDescent="0.25">
      <c r="A16" s="1289"/>
      <c r="B16" s="1292"/>
      <c r="C16" s="1080">
        <v>45244</v>
      </c>
      <c r="D16" s="657" t="str">
        <f t="shared" si="0"/>
        <v>Út</v>
      </c>
      <c r="E16" s="724">
        <f t="shared" si="1"/>
        <v>0</v>
      </c>
      <c r="F16" s="1079">
        <f t="shared" si="2"/>
        <v>0</v>
      </c>
      <c r="G16" s="724"/>
      <c r="H16" s="724"/>
      <c r="I16" s="724"/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179" t="s">
        <v>459</v>
      </c>
      <c r="T16" s="1180">
        <f>R11</f>
        <v>0</v>
      </c>
      <c r="U16" s="1008"/>
      <c r="V16" s="1179" t="s">
        <v>463</v>
      </c>
      <c r="W16" s="1180">
        <f>R11+R19+R21+Q29</f>
        <v>0</v>
      </c>
      <c r="X16" s="643">
        <f t="shared" si="3"/>
        <v>2</v>
      </c>
    </row>
    <row r="17" spans="1:24" x14ac:dyDescent="0.25">
      <c r="A17" s="1289"/>
      <c r="B17" s="1292"/>
      <c r="C17" s="1080">
        <v>45245</v>
      </c>
      <c r="D17" s="657" t="str">
        <f t="shared" si="0"/>
        <v>St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154">
        <f>'06cash'!O45</f>
        <v>400</v>
      </c>
      <c r="R17" s="1089">
        <v>0</v>
      </c>
      <c r="S17" s="1179"/>
      <c r="T17" s="1181">
        <f>T16-T15</f>
        <v>0</v>
      </c>
      <c r="U17" s="1008"/>
      <c r="V17" s="1179" t="s">
        <v>513</v>
      </c>
      <c r="W17" s="1180">
        <f>W16-W15</f>
        <v>0</v>
      </c>
      <c r="X17" s="643">
        <f t="shared" si="3"/>
        <v>3</v>
      </c>
    </row>
    <row r="18" spans="1:24" x14ac:dyDescent="0.25">
      <c r="A18" s="1289"/>
      <c r="B18" s="1292"/>
      <c r="C18" s="1080">
        <v>45246</v>
      </c>
      <c r="D18" s="657" t="str">
        <f t="shared" si="0"/>
        <v>Čt</v>
      </c>
      <c r="E18" s="724">
        <f t="shared" si="1"/>
        <v>0</v>
      </c>
      <c r="F18" s="1079">
        <f t="shared" si="2"/>
        <v>0</v>
      </c>
      <c r="G18" s="724"/>
      <c r="H18" s="724"/>
      <c r="I18" s="724"/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180">
        <f>T17-S6-S8</f>
        <v>0</v>
      </c>
      <c r="T18" s="1179"/>
      <c r="U18" s="1009"/>
      <c r="V18" s="1179" t="s">
        <v>514</v>
      </c>
      <c r="W18" s="1180">
        <f>W17-S6-S8</f>
        <v>0</v>
      </c>
      <c r="X18" s="643">
        <f t="shared" si="3"/>
        <v>4</v>
      </c>
    </row>
    <row r="19" spans="1:24" x14ac:dyDescent="0.25">
      <c r="A19" s="1290"/>
      <c r="B19" s="1291"/>
      <c r="C19" s="1080">
        <v>45247</v>
      </c>
      <c r="D19" s="657" t="str">
        <f t="shared" si="0"/>
        <v>Pá</v>
      </c>
      <c r="E19" s="724">
        <f t="shared" si="1"/>
        <v>0</v>
      </c>
      <c r="F19" s="1079">
        <f t="shared" si="2"/>
        <v>0</v>
      </c>
      <c r="G19" s="724"/>
      <c r="H19" s="724"/>
      <c r="I19" s="724"/>
      <c r="J19" s="654"/>
      <c r="K19" s="657"/>
      <c r="L19" s="654"/>
      <c r="M19" s="657"/>
      <c r="N19" s="654"/>
      <c r="O19" s="657"/>
      <c r="P19" s="714"/>
      <c r="Q19" s="1083"/>
      <c r="R19" s="1088"/>
      <c r="S19" s="1179"/>
      <c r="T19" s="1179"/>
      <c r="U19" s="1008"/>
      <c r="V19" s="1179"/>
      <c r="W19" s="1179"/>
      <c r="X19" s="643">
        <f t="shared" si="3"/>
        <v>5</v>
      </c>
    </row>
    <row r="20" spans="1:24" x14ac:dyDescent="0.25">
      <c r="A20" s="1290"/>
      <c r="B20" s="1291"/>
      <c r="C20" s="1080">
        <v>45248</v>
      </c>
      <c r="D20" s="657" t="str">
        <f t="shared" si="0"/>
        <v>So</v>
      </c>
      <c r="E20" s="724">
        <f t="shared" si="1"/>
        <v>0</v>
      </c>
      <c r="F20" s="1079">
        <f t="shared" si="2"/>
        <v>0</v>
      </c>
      <c r="G20" s="724"/>
      <c r="H20" s="724"/>
      <c r="I20" s="724"/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179"/>
      <c r="T20" s="1179"/>
      <c r="U20" s="1008"/>
      <c r="V20" s="1179"/>
      <c r="W20" s="1179"/>
      <c r="X20" s="643">
        <f t="shared" si="3"/>
        <v>6</v>
      </c>
    </row>
    <row r="21" spans="1:24" x14ac:dyDescent="0.25">
      <c r="A21" s="1290"/>
      <c r="B21" s="1291"/>
      <c r="C21" s="1080">
        <v>45249</v>
      </c>
      <c r="D21" s="657" t="str">
        <f t="shared" si="0"/>
        <v>Ne</v>
      </c>
      <c r="E21" s="724">
        <f t="shared" si="1"/>
        <v>0</v>
      </c>
      <c r="F21" s="1079">
        <f t="shared" si="2"/>
        <v>0</v>
      </c>
      <c r="G21" s="724"/>
      <c r="H21" s="724"/>
      <c r="I21" s="724"/>
      <c r="J21" s="654"/>
      <c r="K21" s="657"/>
      <c r="L21" s="654"/>
      <c r="M21" s="657"/>
      <c r="N21" s="654"/>
      <c r="O21" s="657"/>
      <c r="P21" s="714"/>
      <c r="Q21" s="1083">
        <f>W3</f>
        <v>0</v>
      </c>
      <c r="R21" s="1088">
        <v>0</v>
      </c>
      <c r="S21" s="1179"/>
      <c r="T21" s="1179"/>
      <c r="U21" s="1008"/>
      <c r="V21" s="1179"/>
      <c r="W21" s="1179"/>
      <c r="X21" s="643">
        <f t="shared" si="3"/>
        <v>7</v>
      </c>
    </row>
    <row r="22" spans="1:24" x14ac:dyDescent="0.25">
      <c r="A22" s="1290"/>
      <c r="B22" s="1291"/>
      <c r="C22" s="1080">
        <v>45250</v>
      </c>
      <c r="D22" s="657" t="str">
        <f t="shared" si="0"/>
        <v>Po</v>
      </c>
      <c r="E22" s="724">
        <f t="shared" si="1"/>
        <v>0</v>
      </c>
      <c r="F22" s="1079">
        <f t="shared" si="2"/>
        <v>0</v>
      </c>
      <c r="G22" s="724"/>
      <c r="H22" s="724"/>
      <c r="I22" s="724"/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179"/>
      <c r="T22" s="1179"/>
      <c r="U22" s="1008"/>
      <c r="V22" s="1179"/>
      <c r="W22" s="1179"/>
      <c r="X22" s="643">
        <f t="shared" si="3"/>
        <v>1</v>
      </c>
    </row>
    <row r="23" spans="1:24" x14ac:dyDescent="0.25">
      <c r="A23" s="1290"/>
      <c r="B23" s="1291"/>
      <c r="C23" s="1080">
        <v>45251</v>
      </c>
      <c r="D23" s="657" t="str">
        <f t="shared" si="0"/>
        <v>Út</v>
      </c>
      <c r="E23" s="724">
        <f t="shared" si="1"/>
        <v>0</v>
      </c>
      <c r="F23" s="1079">
        <f t="shared" si="2"/>
        <v>0</v>
      </c>
      <c r="G23" s="724"/>
      <c r="H23" s="724"/>
      <c r="I23" s="724"/>
      <c r="J23" s="654"/>
      <c r="K23" s="657"/>
      <c r="L23" s="654"/>
      <c r="M23" s="657"/>
      <c r="N23" s="654"/>
      <c r="O23" s="657"/>
      <c r="P23" s="714"/>
      <c r="Q23" s="1083">
        <v>0</v>
      </c>
      <c r="R23" s="1088">
        <v>0</v>
      </c>
      <c r="S23" s="1179"/>
      <c r="T23" s="1017"/>
      <c r="U23" s="1178"/>
      <c r="V23" s="1179"/>
      <c r="W23" s="1179"/>
      <c r="X23" s="643">
        <f t="shared" si="3"/>
        <v>2</v>
      </c>
    </row>
    <row r="24" spans="1:24" x14ac:dyDescent="0.25">
      <c r="A24" s="1290"/>
      <c r="B24" s="1291"/>
      <c r="C24" s="1080">
        <v>45252</v>
      </c>
      <c r="D24" s="657" t="str">
        <f t="shared" si="0"/>
        <v>St</v>
      </c>
      <c r="E24" s="724">
        <f t="shared" si="1"/>
        <v>0</v>
      </c>
      <c r="F24" s="1079">
        <f t="shared" si="2"/>
        <v>0</v>
      </c>
      <c r="G24" s="724"/>
      <c r="H24" s="724"/>
      <c r="I24" s="724"/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182">
        <f>S18-R25</f>
        <v>0</v>
      </c>
      <c r="T24" s="1018"/>
      <c r="U24" s="1182">
        <f>W18-Q27</f>
        <v>0</v>
      </c>
      <c r="V24" s="1179"/>
      <c r="W24" s="1179"/>
      <c r="X24" s="643">
        <f t="shared" si="3"/>
        <v>3</v>
      </c>
    </row>
    <row r="25" spans="1:24" x14ac:dyDescent="0.25">
      <c r="A25" s="1290"/>
      <c r="B25" s="1291"/>
      <c r="C25" s="1080">
        <v>45253</v>
      </c>
      <c r="D25" s="657" t="str">
        <f t="shared" si="0"/>
        <v>Čt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0</v>
      </c>
      <c r="R25" s="1088">
        <f>Q27-Q29</f>
        <v>0</v>
      </c>
      <c r="S25" s="1020"/>
      <c r="T25" s="1019"/>
      <c r="U25" s="1006"/>
      <c r="V25" s="1006"/>
      <c r="W25" s="1006"/>
      <c r="X25" s="643">
        <f t="shared" si="3"/>
        <v>4</v>
      </c>
    </row>
    <row r="26" spans="1:24" x14ac:dyDescent="0.25">
      <c r="A26" s="1289"/>
      <c r="B26" s="1292"/>
      <c r="C26" s="1080">
        <v>45254</v>
      </c>
      <c r="D26" s="657" t="str">
        <f t="shared" si="0"/>
        <v>Pá</v>
      </c>
      <c r="E26" s="724">
        <f t="shared" si="1"/>
        <v>0</v>
      </c>
      <c r="F26" s="1079">
        <f t="shared" si="2"/>
        <v>0</v>
      </c>
      <c r="G26" s="724"/>
      <c r="H26" s="724"/>
      <c r="I26" s="724"/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1178"/>
      <c r="T26" s="1178"/>
      <c r="U26" s="1178"/>
      <c r="V26" s="1178"/>
      <c r="W26" s="1178"/>
      <c r="X26" s="643">
        <f t="shared" si="3"/>
        <v>5</v>
      </c>
    </row>
    <row r="27" spans="1:24" x14ac:dyDescent="0.25">
      <c r="A27" s="1289"/>
      <c r="B27" s="1292"/>
      <c r="C27" s="1080">
        <v>45255</v>
      </c>
      <c r="D27" s="657" t="str">
        <f t="shared" si="0"/>
        <v>So</v>
      </c>
      <c r="E27" s="724">
        <f t="shared" si="1"/>
        <v>0</v>
      </c>
      <c r="F27" s="1079">
        <f t="shared" si="2"/>
        <v>0</v>
      </c>
      <c r="G27" s="724"/>
      <c r="H27" s="724"/>
      <c r="I27" s="724"/>
      <c r="J27" s="654"/>
      <c r="K27" s="657"/>
      <c r="L27" s="654"/>
      <c r="M27" s="657"/>
      <c r="N27" s="654"/>
      <c r="O27" s="657"/>
      <c r="P27" s="714"/>
      <c r="Q27" s="1083">
        <v>0</v>
      </c>
      <c r="R27" s="1088"/>
      <c r="S27" s="1178"/>
      <c r="T27" s="1178"/>
      <c r="U27" s="1178"/>
      <c r="V27" s="1178"/>
      <c r="W27" s="1178"/>
      <c r="X27" s="643">
        <f t="shared" si="3"/>
        <v>6</v>
      </c>
    </row>
    <row r="28" spans="1:24" x14ac:dyDescent="0.25">
      <c r="A28" s="1289"/>
      <c r="B28" s="1292"/>
      <c r="C28" s="1080">
        <v>45256</v>
      </c>
      <c r="D28" s="657" t="str">
        <f t="shared" si="0"/>
        <v>Ne</v>
      </c>
      <c r="E28" s="724">
        <f t="shared" si="1"/>
        <v>0</v>
      </c>
      <c r="F28" s="1079">
        <f t="shared" si="2"/>
        <v>0</v>
      </c>
      <c r="G28" s="724"/>
      <c r="H28" s="724"/>
      <c r="I28" s="724"/>
      <c r="J28" s="654"/>
      <c r="K28" s="657"/>
      <c r="L28" s="654"/>
      <c r="M28" s="657"/>
      <c r="N28" s="654"/>
      <c r="O28" s="657"/>
      <c r="P28" s="714"/>
      <c r="Q28" s="654" t="s">
        <v>373</v>
      </c>
      <c r="R28" s="1026"/>
      <c r="S28" s="1178"/>
      <c r="T28" s="1178"/>
      <c r="U28" s="1178"/>
      <c r="V28" s="1178"/>
      <c r="W28" s="1178"/>
      <c r="X28" s="643">
        <f t="shared" si="3"/>
        <v>7</v>
      </c>
    </row>
    <row r="29" spans="1:24" x14ac:dyDescent="0.25">
      <c r="A29" s="1289"/>
      <c r="B29" s="1292"/>
      <c r="C29" s="1080">
        <v>45257</v>
      </c>
      <c r="D29" s="657" t="str">
        <f t="shared" si="0"/>
        <v>Po</v>
      </c>
      <c r="E29" s="724">
        <f t="shared" si="1"/>
        <v>0</v>
      </c>
      <c r="F29" s="1079">
        <f t="shared" si="2"/>
        <v>0</v>
      </c>
      <c r="G29" s="724"/>
      <c r="H29" s="724"/>
      <c r="I29" s="724"/>
      <c r="J29" s="654"/>
      <c r="K29" s="657"/>
      <c r="L29" s="654"/>
      <c r="M29" s="657"/>
      <c r="N29" s="654"/>
      <c r="O29" s="657"/>
      <c r="P29" s="714"/>
      <c r="Q29" s="1083">
        <f>'10hod23'!Q27</f>
        <v>0</v>
      </c>
      <c r="R29" s="1026"/>
      <c r="S29" s="1178"/>
      <c r="T29" s="1178"/>
      <c r="U29" s="1178"/>
      <c r="V29" s="1178"/>
      <c r="W29" s="1178"/>
      <c r="X29" s="643">
        <f t="shared" si="3"/>
        <v>1</v>
      </c>
    </row>
    <row r="30" spans="1:24" x14ac:dyDescent="0.25">
      <c r="A30" s="1289"/>
      <c r="B30" s="1292"/>
      <c r="C30" s="1080">
        <v>45258</v>
      </c>
      <c r="D30" s="657" t="str">
        <f t="shared" si="0"/>
        <v>Út</v>
      </c>
      <c r="E30" s="724">
        <f t="shared" si="1"/>
        <v>0</v>
      </c>
      <c r="F30" s="1079">
        <f t="shared" si="2"/>
        <v>0</v>
      </c>
      <c r="G30" s="724"/>
      <c r="H30" s="724"/>
      <c r="I30" s="724"/>
      <c r="J30" s="654"/>
      <c r="K30" s="657"/>
      <c r="L30" s="654"/>
      <c r="M30" s="657"/>
      <c r="N30" s="654"/>
      <c r="O30" s="657"/>
      <c r="P30" s="714"/>
      <c r="Q30" s="1083"/>
      <c r="R30" s="1083"/>
      <c r="S30" s="1178"/>
      <c r="T30" s="1178"/>
      <c r="U30" s="1178"/>
      <c r="V30" s="1178"/>
      <c r="W30" s="1178"/>
      <c r="X30" s="643">
        <f t="shared" si="3"/>
        <v>2</v>
      </c>
    </row>
    <row r="31" spans="1:24" x14ac:dyDescent="0.25">
      <c r="A31" s="1289"/>
      <c r="B31" s="1292"/>
      <c r="C31" s="1080">
        <v>45259</v>
      </c>
      <c r="D31" s="657" t="str">
        <f t="shared" si="0"/>
        <v>St</v>
      </c>
      <c r="E31" s="724">
        <f t="shared" si="1"/>
        <v>0</v>
      </c>
      <c r="F31" s="1079">
        <f t="shared" si="2"/>
        <v>0</v>
      </c>
      <c r="G31" s="724"/>
      <c r="H31" s="724"/>
      <c r="I31" s="724"/>
      <c r="J31" s="654"/>
      <c r="K31" s="657"/>
      <c r="L31" s="654"/>
      <c r="M31" s="657"/>
      <c r="N31" s="654"/>
      <c r="O31" s="657"/>
      <c r="P31" s="714"/>
      <c r="Q31" s="918"/>
      <c r="R31" s="1091"/>
      <c r="S31" s="1178"/>
      <c r="T31" s="1178"/>
      <c r="U31" s="1178"/>
      <c r="V31" s="1178"/>
      <c r="W31" s="1178"/>
      <c r="X31" s="643">
        <f t="shared" si="3"/>
        <v>3</v>
      </c>
    </row>
    <row r="32" spans="1:24" x14ac:dyDescent="0.25">
      <c r="A32" s="1289"/>
      <c r="B32" s="1292"/>
      <c r="C32" s="1080">
        <v>45260</v>
      </c>
      <c r="D32" s="657" t="str">
        <f t="shared" si="0"/>
        <v>Čt</v>
      </c>
      <c r="E32" s="724">
        <f t="shared" si="1"/>
        <v>0</v>
      </c>
      <c r="F32" s="1079">
        <f t="shared" si="2"/>
        <v>0</v>
      </c>
      <c r="G32" s="724"/>
      <c r="H32" s="724"/>
      <c r="I32" s="724"/>
      <c r="J32" s="654"/>
      <c r="K32" s="657"/>
      <c r="L32" s="654"/>
      <c r="M32" s="657"/>
      <c r="N32" s="654"/>
      <c r="O32" s="657"/>
      <c r="P32" s="714"/>
      <c r="Q32" s="654"/>
      <c r="R32" s="1026"/>
      <c r="S32" s="1178"/>
      <c r="T32" s="1178"/>
      <c r="U32" s="1178"/>
      <c r="V32" s="1178"/>
      <c r="W32" s="1178"/>
      <c r="X32" s="643">
        <f t="shared" si="3"/>
        <v>4</v>
      </c>
    </row>
    <row r="33" spans="1:24" x14ac:dyDescent="0.25">
      <c r="A33" s="1289"/>
      <c r="B33" s="1292"/>
      <c r="C33" s="1080">
        <v>45261</v>
      </c>
      <c r="D33" s="657" t="str">
        <f t="shared" si="0"/>
        <v>Pá</v>
      </c>
      <c r="E33" s="724">
        <f t="shared" si="1"/>
        <v>0</v>
      </c>
      <c r="F33" s="1079">
        <f t="shared" si="2"/>
        <v>0</v>
      </c>
      <c r="G33" s="724"/>
      <c r="H33" s="724"/>
      <c r="I33" s="724"/>
      <c r="J33" s="654"/>
      <c r="K33" s="657"/>
      <c r="L33" s="654"/>
      <c r="M33" s="657"/>
      <c r="N33" s="654"/>
      <c r="O33" s="657"/>
      <c r="P33" s="714"/>
      <c r="Q33" s="654"/>
      <c r="R33" s="1026"/>
      <c r="S33" s="1178"/>
      <c r="T33" s="1178"/>
      <c r="U33" s="1178"/>
      <c r="V33" s="1178"/>
      <c r="W33" s="1178"/>
      <c r="X33" s="643">
        <f t="shared" si="3"/>
        <v>5</v>
      </c>
    </row>
    <row r="34" spans="1:24" x14ac:dyDescent="0.25">
      <c r="A34" s="1290"/>
      <c r="B34" s="1291"/>
      <c r="C34" s="1080">
        <v>45262</v>
      </c>
      <c r="D34" s="657" t="str">
        <f t="shared" si="0"/>
        <v>So</v>
      </c>
      <c r="E34" s="724">
        <f t="shared" si="1"/>
        <v>0</v>
      </c>
      <c r="F34" s="1079">
        <f t="shared" si="2"/>
        <v>0</v>
      </c>
      <c r="G34" s="724"/>
      <c r="H34" s="724"/>
      <c r="I34" s="724"/>
      <c r="J34" s="654"/>
      <c r="K34" s="657"/>
      <c r="L34" s="654"/>
      <c r="M34" s="657"/>
      <c r="N34" s="654"/>
      <c r="O34" s="657"/>
      <c r="P34" s="714"/>
      <c r="Q34" s="654"/>
      <c r="R34" s="1026"/>
      <c r="S34" s="1178"/>
      <c r="T34" s="1178"/>
      <c r="U34" s="1178"/>
      <c r="V34" s="1178"/>
      <c r="W34" s="1178"/>
      <c r="X34" s="643">
        <f t="shared" si="3"/>
        <v>6</v>
      </c>
    </row>
    <row r="35" spans="1:24" x14ac:dyDescent="0.25">
      <c r="A35" s="1290"/>
      <c r="B35" s="1291"/>
      <c r="C35" s="1080">
        <v>45263</v>
      </c>
      <c r="D35" s="657" t="str">
        <f t="shared" si="0"/>
        <v>Ne</v>
      </c>
      <c r="E35" s="724">
        <f t="shared" si="1"/>
        <v>0</v>
      </c>
      <c r="F35" s="1079">
        <f t="shared" si="2"/>
        <v>0</v>
      </c>
      <c r="G35" s="724"/>
      <c r="H35" s="724"/>
      <c r="I35" s="724"/>
      <c r="J35" s="654"/>
      <c r="K35" s="657"/>
      <c r="L35" s="654"/>
      <c r="M35" s="657"/>
      <c r="N35" s="654"/>
      <c r="O35" s="657"/>
      <c r="P35" s="714"/>
      <c r="Q35" s="654"/>
      <c r="R35" s="1026"/>
      <c r="S35" s="1178"/>
      <c r="T35" s="1178"/>
      <c r="U35" s="1178"/>
      <c r="V35" s="1178"/>
      <c r="W35" s="1178"/>
      <c r="X35" s="643">
        <f t="shared" si="3"/>
        <v>7</v>
      </c>
    </row>
    <row r="36" spans="1:24" ht="15.75" thickBot="1" x14ac:dyDescent="0.3">
      <c r="A36" s="1290"/>
      <c r="B36" s="1291"/>
      <c r="C36" s="1080">
        <v>45264</v>
      </c>
      <c r="D36" s="658" t="str">
        <f t="shared" si="0"/>
        <v>Po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1178"/>
      <c r="T36" s="1178"/>
      <c r="U36" s="1178"/>
      <c r="V36" s="1178"/>
      <c r="W36" s="1178"/>
      <c r="X36" s="643">
        <f t="shared" si="3"/>
        <v>1</v>
      </c>
    </row>
    <row r="39" spans="1:24" x14ac:dyDescent="0.25">
      <c r="G39" s="731"/>
      <c r="H39" s="731"/>
      <c r="Q39" s="731"/>
    </row>
    <row r="40" spans="1:24" x14ac:dyDescent="0.25">
      <c r="E40" s="733"/>
      <c r="G40" s="732"/>
      <c r="H40" s="732"/>
    </row>
    <row r="41" spans="1:24" x14ac:dyDescent="0.25">
      <c r="H41" s="731">
        <f>TIME(0,30,0)</f>
        <v>2.0833333333333332E-2</v>
      </c>
      <c r="Q41" s="732">
        <f>SUM(E3:E11)</f>
        <v>0.41666666666666669</v>
      </c>
      <c r="R41" t="s">
        <v>315</v>
      </c>
    </row>
    <row r="42" spans="1:24" x14ac:dyDescent="0.25">
      <c r="H42" s="731">
        <f>TIME(1,0,0)</f>
        <v>4.1666666666666664E-2</v>
      </c>
      <c r="Q42" s="732">
        <f>SUM(E12:E33)</f>
        <v>0</v>
      </c>
      <c r="R42" t="s">
        <v>316</v>
      </c>
    </row>
    <row r="46" spans="1:24" x14ac:dyDescent="0.25">
      <c r="E46" s="731"/>
    </row>
  </sheetData>
  <mergeCells count="12">
    <mergeCell ref="A3:A4"/>
    <mergeCell ref="B3:B4"/>
    <mergeCell ref="A5:A11"/>
    <mergeCell ref="B5:B11"/>
    <mergeCell ref="A12:A18"/>
    <mergeCell ref="B12:B18"/>
    <mergeCell ref="A19:A25"/>
    <mergeCell ref="B19:B25"/>
    <mergeCell ref="A26:A33"/>
    <mergeCell ref="B26:B33"/>
    <mergeCell ref="A34:A36"/>
    <mergeCell ref="B34:B36"/>
  </mergeCells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92D050"/>
  </sheetPr>
  <dimension ref="A1:AP102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" customHeight="1" x14ac:dyDescent="0.25"/>
  <cols>
    <col min="1" max="1" width="9.42578125" customWidth="1"/>
    <col min="2" max="2" width="7.7109375" customWidth="1"/>
    <col min="3" max="3" width="9.28515625" customWidth="1"/>
    <col min="4" max="5" width="8.28515625" customWidth="1"/>
    <col min="6" max="8" width="8" customWidth="1"/>
    <col min="9" max="9" width="8.28515625" customWidth="1"/>
    <col min="10" max="10" width="8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10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9.7109375" customWidth="1"/>
    <col min="21" max="21" width="8.28515625" customWidth="1"/>
    <col min="22" max="22" width="8" customWidth="1"/>
    <col min="23" max="25" width="8.28515625" customWidth="1"/>
    <col min="26" max="26" width="8" customWidth="1"/>
    <col min="27" max="27" width="8.28515625" customWidth="1"/>
    <col min="28" max="28" width="8" customWidth="1"/>
    <col min="29" max="29" width="9.28515625" customWidth="1"/>
    <col min="30" max="30" width="12.85546875" customWidth="1"/>
    <col min="31" max="31" width="12.7109375" customWidth="1"/>
    <col min="32" max="32" width="9.140625" customWidth="1"/>
    <col min="33" max="33" width="10.28515625" customWidth="1"/>
    <col min="34" max="34" width="14.28515625" customWidth="1"/>
    <col min="35" max="35" width="9.42578125" customWidth="1"/>
    <col min="36" max="36" width="12.42578125" customWidth="1"/>
    <col min="37" max="37" width="8.5703125" customWidth="1"/>
    <col min="38" max="38" width="11.28515625" customWidth="1"/>
    <col min="39" max="42" width="9.140625" customWidth="1"/>
  </cols>
  <sheetData>
    <row r="1" spans="1:42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33"/>
      <c r="Y1" s="1233"/>
      <c r="Z1" s="1220"/>
      <c r="AA1" s="1232" t="s">
        <v>43</v>
      </c>
      <c r="AB1" s="1233"/>
      <c r="AC1" s="1234"/>
      <c r="AD1" s="1219" t="s">
        <v>44</v>
      </c>
      <c r="AE1" s="1220"/>
      <c r="AF1" s="1243" t="s">
        <v>45</v>
      </c>
      <c r="AG1" s="1234"/>
      <c r="AH1" s="43"/>
      <c r="AI1" s="43"/>
      <c r="AJ1" s="44"/>
      <c r="AK1" s="44"/>
      <c r="AL1" s="44"/>
      <c r="AM1" s="44"/>
      <c r="AN1" s="43"/>
      <c r="AO1" s="43"/>
      <c r="AP1" s="43"/>
    </row>
    <row r="2" spans="1:42" ht="15.75" x14ac:dyDescent="0.25">
      <c r="A2" s="48" t="s">
        <v>46</v>
      </c>
      <c r="B2" s="276" t="s">
        <v>47</v>
      </c>
      <c r="C2" s="277" t="s">
        <v>48</v>
      </c>
      <c r="D2" s="48" t="s">
        <v>46</v>
      </c>
      <c r="E2" s="49" t="s">
        <v>47</v>
      </c>
      <c r="F2" s="276" t="s">
        <v>49</v>
      </c>
      <c r="G2" s="278" t="s">
        <v>49</v>
      </c>
      <c r="H2" s="279" t="s">
        <v>46</v>
      </c>
      <c r="I2" s="280" t="s">
        <v>49</v>
      </c>
      <c r="J2" s="281" t="s">
        <v>47</v>
      </c>
      <c r="K2" s="276" t="s">
        <v>46</v>
      </c>
      <c r="L2" s="280" t="s">
        <v>50</v>
      </c>
      <c r="M2" s="282" t="s">
        <v>51</v>
      </c>
      <c r="N2" s="276" t="s">
        <v>52</v>
      </c>
      <c r="O2" s="280" t="s">
        <v>53</v>
      </c>
      <c r="P2" s="277" t="s">
        <v>50</v>
      </c>
      <c r="Q2" s="283" t="s">
        <v>54</v>
      </c>
      <c r="R2" s="276" t="s">
        <v>47</v>
      </c>
      <c r="S2" s="283" t="s">
        <v>55</v>
      </c>
      <c r="T2" s="276" t="s">
        <v>47</v>
      </c>
      <c r="U2" s="283" t="s">
        <v>56</v>
      </c>
      <c r="V2" s="276" t="s">
        <v>47</v>
      </c>
      <c r="W2" s="45" t="s">
        <v>84</v>
      </c>
      <c r="X2" s="284" t="s">
        <v>47</v>
      </c>
      <c r="Y2" s="285" t="s">
        <v>85</v>
      </c>
      <c r="Z2" s="276" t="s">
        <v>47</v>
      </c>
      <c r="AA2" s="283" t="s">
        <v>50</v>
      </c>
      <c r="AB2" s="49" t="s">
        <v>13</v>
      </c>
      <c r="AC2" s="276" t="s">
        <v>52</v>
      </c>
      <c r="AD2" s="286" t="s">
        <v>50</v>
      </c>
      <c r="AE2" s="287" t="s">
        <v>52</v>
      </c>
      <c r="AF2" s="286" t="s">
        <v>50</v>
      </c>
      <c r="AG2" s="288" t="s">
        <v>52</v>
      </c>
      <c r="AJ2" s="30"/>
      <c r="AK2" s="30"/>
      <c r="AL2" s="30"/>
      <c r="AM2" s="30"/>
    </row>
    <row r="3" spans="1:42" x14ac:dyDescent="0.25">
      <c r="A3" s="289"/>
      <c r="B3" s="96"/>
      <c r="C3" s="290"/>
      <c r="D3" s="70"/>
      <c r="E3" s="71"/>
      <c r="F3" s="72"/>
      <c r="G3" s="73"/>
      <c r="H3" s="74"/>
      <c r="I3" s="86"/>
      <c r="J3" s="76"/>
      <c r="K3" s="74"/>
      <c r="L3" s="291"/>
      <c r="M3" s="371"/>
      <c r="N3" s="372"/>
      <c r="O3" s="80">
        <f>AC27-AG6-AE3</f>
        <v>0</v>
      </c>
      <c r="P3" s="294">
        <v>0</v>
      </c>
      <c r="Q3" s="84"/>
      <c r="R3" s="83"/>
      <c r="S3" s="84"/>
      <c r="T3" s="85"/>
      <c r="U3" s="86"/>
      <c r="V3" s="85"/>
      <c r="W3" s="295"/>
      <c r="X3" s="296"/>
      <c r="Y3" s="133"/>
      <c r="Z3" s="83"/>
      <c r="AA3" s="297"/>
      <c r="AB3" s="89" t="s">
        <v>60</v>
      </c>
      <c r="AC3" s="373"/>
      <c r="AD3" s="299">
        <v>0</v>
      </c>
      <c r="AE3" s="300">
        <v>0</v>
      </c>
      <c r="AF3" s="301">
        <f>AD6+AF6</f>
        <v>0</v>
      </c>
      <c r="AG3" s="302">
        <f>AG6+AE6</f>
        <v>0</v>
      </c>
      <c r="AJ3" s="30"/>
      <c r="AK3" s="30"/>
      <c r="AL3" s="30"/>
    </row>
    <row r="4" spans="1:42" ht="18.75" x14ac:dyDescent="0.25">
      <c r="A4" s="303"/>
      <c r="B4" s="96"/>
      <c r="C4" s="304"/>
      <c r="D4" s="98"/>
      <c r="E4" s="71"/>
      <c r="F4" s="99"/>
      <c r="G4" s="100"/>
      <c r="H4" s="101"/>
      <c r="I4" s="102"/>
      <c r="J4" s="76"/>
      <c r="K4" s="101"/>
      <c r="L4" s="305"/>
      <c r="M4" s="374"/>
      <c r="N4" s="150"/>
      <c r="O4" s="1223" t="s">
        <v>61</v>
      </c>
      <c r="P4" s="1224"/>
      <c r="Q4" s="118"/>
      <c r="R4" s="83"/>
      <c r="S4" s="118"/>
      <c r="T4" s="85"/>
      <c r="U4" s="108"/>
      <c r="V4" s="85"/>
      <c r="W4" s="308"/>
      <c r="X4" s="83"/>
      <c r="Y4" s="133"/>
      <c r="Z4" s="83"/>
      <c r="AA4" s="309"/>
      <c r="AB4" s="89"/>
      <c r="AC4" s="329"/>
      <c r="AD4" s="1238" t="s">
        <v>63</v>
      </c>
      <c r="AE4" s="1245"/>
      <c r="AF4" s="1246" t="s">
        <v>64</v>
      </c>
      <c r="AG4" s="1237"/>
      <c r="AJ4" s="30"/>
      <c r="AK4" s="112"/>
      <c r="AL4" s="30"/>
    </row>
    <row r="5" spans="1:42" ht="15.75" x14ac:dyDescent="0.25">
      <c r="A5" s="303"/>
      <c r="B5" s="96"/>
      <c r="C5" s="304"/>
      <c r="D5" s="98"/>
      <c r="E5" s="71"/>
      <c r="F5" s="99"/>
      <c r="G5" s="100"/>
      <c r="H5" s="101"/>
      <c r="I5" s="102"/>
      <c r="J5" s="76"/>
      <c r="K5" s="101"/>
      <c r="L5" s="311"/>
      <c r="M5" s="330"/>
      <c r="N5" s="150"/>
      <c r="O5" s="1225">
        <f>AD9</f>
        <v>0</v>
      </c>
      <c r="P5" s="1226"/>
      <c r="Q5" s="118"/>
      <c r="R5" s="83"/>
      <c r="S5" s="118"/>
      <c r="T5" s="85"/>
      <c r="U5" s="108"/>
      <c r="V5" s="85"/>
      <c r="W5" s="308"/>
      <c r="X5" s="83"/>
      <c r="Y5" s="133"/>
      <c r="Z5" s="83"/>
      <c r="AA5" s="309"/>
      <c r="AB5" s="89"/>
      <c r="AC5" s="329"/>
      <c r="AD5" s="119" t="s">
        <v>50</v>
      </c>
      <c r="AE5" s="313" t="s">
        <v>52</v>
      </c>
      <c r="AF5" s="121" t="s">
        <v>50</v>
      </c>
      <c r="AG5" s="122" t="s">
        <v>52</v>
      </c>
      <c r="AJ5" s="30"/>
      <c r="AK5" s="112"/>
      <c r="AL5" s="30"/>
    </row>
    <row r="6" spans="1:42" x14ac:dyDescent="0.25">
      <c r="A6" s="303"/>
      <c r="B6" s="96"/>
      <c r="C6" s="304"/>
      <c r="D6" s="98"/>
      <c r="E6" s="71"/>
      <c r="F6" s="99"/>
      <c r="G6" s="100"/>
      <c r="H6" s="101"/>
      <c r="I6" s="102"/>
      <c r="J6" s="76"/>
      <c r="K6" s="101"/>
      <c r="L6" s="311"/>
      <c r="M6" s="330"/>
      <c r="N6" s="150"/>
      <c r="O6" s="314"/>
      <c r="P6" s="315"/>
      <c r="Q6" s="118"/>
      <c r="R6" s="83"/>
      <c r="S6" s="118"/>
      <c r="T6" s="85"/>
      <c r="U6" s="108"/>
      <c r="V6" s="85"/>
      <c r="W6" s="308"/>
      <c r="X6" s="83"/>
      <c r="Y6" s="133"/>
      <c r="Z6" s="83"/>
      <c r="AA6" s="309"/>
      <c r="AB6" s="89"/>
      <c r="AC6" s="329"/>
      <c r="AD6" s="316">
        <f>A27+L27</f>
        <v>0</v>
      </c>
      <c r="AE6" s="317">
        <f>D27+H27+K27+N27</f>
        <v>0</v>
      </c>
      <c r="AF6" s="128">
        <f>L27+C27</f>
        <v>0</v>
      </c>
      <c r="AG6" s="129">
        <f>F27+G27+I27+M27+Q27+S27+U27+W27+Y27</f>
        <v>0</v>
      </c>
      <c r="AJ6" s="30"/>
      <c r="AK6" s="112"/>
      <c r="AL6" s="30"/>
    </row>
    <row r="7" spans="1:42" ht="18.75" x14ac:dyDescent="0.25">
      <c r="A7" s="303"/>
      <c r="B7" s="96"/>
      <c r="C7" s="304"/>
      <c r="D7" s="98"/>
      <c r="E7" s="71"/>
      <c r="F7" s="99"/>
      <c r="G7" s="100"/>
      <c r="H7" s="101"/>
      <c r="I7" s="108"/>
      <c r="J7" s="76"/>
      <c r="K7" s="101"/>
      <c r="L7" s="311"/>
      <c r="M7" s="330"/>
      <c r="N7" s="150"/>
      <c r="O7" s="144"/>
      <c r="P7" s="145"/>
      <c r="Q7" s="118"/>
      <c r="R7" s="83"/>
      <c r="S7" s="118"/>
      <c r="T7" s="85"/>
      <c r="U7" s="108"/>
      <c r="V7" s="85"/>
      <c r="W7" s="308"/>
      <c r="X7" s="83"/>
      <c r="Y7" s="133"/>
      <c r="Z7" s="83"/>
      <c r="AA7" s="309"/>
      <c r="AB7" s="89"/>
      <c r="AC7" s="329"/>
      <c r="AD7" s="320" t="s">
        <v>66</v>
      </c>
      <c r="AE7" s="321" t="s">
        <v>67</v>
      </c>
      <c r="AJ7" s="30"/>
      <c r="AK7" s="30"/>
      <c r="AL7" s="30"/>
    </row>
    <row r="8" spans="1:42" x14ac:dyDescent="0.25">
      <c r="A8" s="303"/>
      <c r="B8" s="96"/>
      <c r="C8" s="304"/>
      <c r="D8" s="98"/>
      <c r="E8" s="71"/>
      <c r="F8" s="99"/>
      <c r="G8" s="100"/>
      <c r="H8" s="101"/>
      <c r="I8" s="108"/>
      <c r="J8" s="76"/>
      <c r="K8" s="101"/>
      <c r="L8" s="311"/>
      <c r="M8" s="330"/>
      <c r="N8" s="150"/>
      <c r="O8" s="133"/>
      <c r="P8" s="134"/>
      <c r="Q8" s="118"/>
      <c r="R8" s="83"/>
      <c r="S8" s="118"/>
      <c r="T8" s="85"/>
      <c r="U8" s="322"/>
      <c r="V8" s="323"/>
      <c r="W8" s="324"/>
      <c r="X8" s="137"/>
      <c r="Y8" s="325"/>
      <c r="Z8" s="83"/>
      <c r="AA8" s="309"/>
      <c r="AB8" s="89"/>
      <c r="AC8" s="329"/>
      <c r="AD8" s="326">
        <v>0</v>
      </c>
      <c r="AE8" s="327">
        <f>E27</f>
        <v>0</v>
      </c>
      <c r="AJ8" s="30"/>
      <c r="AK8" s="30"/>
      <c r="AL8" s="30"/>
    </row>
    <row r="9" spans="1:42" x14ac:dyDescent="0.25">
      <c r="A9" s="303"/>
      <c r="B9" s="76"/>
      <c r="C9" s="328"/>
      <c r="D9" s="98"/>
      <c r="E9" s="71"/>
      <c r="F9" s="99"/>
      <c r="G9" s="100"/>
      <c r="H9" s="143"/>
      <c r="I9" s="108"/>
      <c r="J9" s="76"/>
      <c r="K9" s="101"/>
      <c r="L9" s="311"/>
      <c r="M9" s="330"/>
      <c r="N9" s="150"/>
      <c r="O9" s="144"/>
      <c r="P9" s="145"/>
      <c r="Q9" s="118"/>
      <c r="R9" s="83"/>
      <c r="S9" s="118"/>
      <c r="T9" s="85"/>
      <c r="U9" s="108"/>
      <c r="V9" s="85"/>
      <c r="W9" s="308"/>
      <c r="X9" s="83"/>
      <c r="Y9" s="133"/>
      <c r="Z9" s="83"/>
      <c r="AA9" s="309"/>
      <c r="AB9" s="89"/>
      <c r="AC9" s="329"/>
      <c r="AD9" s="1244">
        <f>AD8-AE8</f>
        <v>0</v>
      </c>
      <c r="AE9" s="1222"/>
      <c r="AJ9" s="30"/>
      <c r="AK9" s="30"/>
      <c r="AL9" s="146"/>
    </row>
    <row r="10" spans="1:42" x14ac:dyDescent="0.25">
      <c r="A10" s="303"/>
      <c r="B10" s="76"/>
      <c r="C10" s="328"/>
      <c r="D10" s="98"/>
      <c r="E10" s="71"/>
      <c r="F10" s="99"/>
      <c r="G10" s="100"/>
      <c r="H10" s="101"/>
      <c r="I10" s="108"/>
      <c r="J10" s="76"/>
      <c r="K10" s="101"/>
      <c r="L10" s="311"/>
      <c r="M10" s="330"/>
      <c r="N10" s="150"/>
      <c r="O10" s="144"/>
      <c r="P10" s="145"/>
      <c r="Q10" s="118"/>
      <c r="R10" s="83"/>
      <c r="S10" s="118"/>
      <c r="T10" s="85"/>
      <c r="U10" s="108"/>
      <c r="V10" s="85"/>
      <c r="W10" s="308"/>
      <c r="X10" s="83"/>
      <c r="Y10" s="133"/>
      <c r="Z10" s="83"/>
      <c r="AA10" s="309"/>
      <c r="AB10" s="89"/>
      <c r="AC10" s="329"/>
      <c r="AJ10" s="30"/>
      <c r="AK10" s="30"/>
      <c r="AL10" s="30"/>
    </row>
    <row r="11" spans="1:42" x14ac:dyDescent="0.25">
      <c r="A11" s="303"/>
      <c r="B11" s="76"/>
      <c r="C11" s="328"/>
      <c r="D11" s="148"/>
      <c r="E11" s="71"/>
      <c r="F11" s="149"/>
      <c r="G11" s="100"/>
      <c r="H11" s="101"/>
      <c r="I11" s="108"/>
      <c r="J11" s="76"/>
      <c r="K11" s="101"/>
      <c r="L11" s="311"/>
      <c r="M11" s="330"/>
      <c r="N11" s="150"/>
      <c r="O11" s="144"/>
      <c r="P11" s="145"/>
      <c r="Q11" s="118"/>
      <c r="R11" s="83"/>
      <c r="S11" s="118"/>
      <c r="T11" s="85"/>
      <c r="U11" s="108"/>
      <c r="V11" s="85"/>
      <c r="W11" s="308"/>
      <c r="X11" s="83"/>
      <c r="Y11" s="133"/>
      <c r="Z11" s="83"/>
      <c r="AA11" s="309"/>
      <c r="AB11" s="89"/>
      <c r="AC11" s="329"/>
      <c r="AJ11" s="30"/>
      <c r="AK11" s="30"/>
      <c r="AL11" s="30"/>
    </row>
    <row r="12" spans="1:42" x14ac:dyDescent="0.25">
      <c r="A12" s="303"/>
      <c r="B12" s="76"/>
      <c r="C12" s="328"/>
      <c r="D12" s="148"/>
      <c r="E12" s="71"/>
      <c r="F12" s="149"/>
      <c r="G12" s="100"/>
      <c r="H12" s="101"/>
      <c r="I12" s="108"/>
      <c r="J12" s="76"/>
      <c r="K12" s="101"/>
      <c r="L12" s="311"/>
      <c r="M12" s="330"/>
      <c r="N12" s="150"/>
      <c r="O12" s="144"/>
      <c r="P12" s="145"/>
      <c r="Q12" s="118"/>
      <c r="R12" s="83"/>
      <c r="S12" s="118"/>
      <c r="T12" s="85"/>
      <c r="U12" s="108"/>
      <c r="V12" s="85"/>
      <c r="W12" s="308"/>
      <c r="X12" s="83"/>
      <c r="Y12" s="133"/>
      <c r="Z12" s="83"/>
      <c r="AA12" s="309"/>
      <c r="AB12" s="89"/>
      <c r="AC12" s="329"/>
      <c r="AJ12" s="30"/>
      <c r="AK12" s="30"/>
      <c r="AL12" s="30"/>
    </row>
    <row r="13" spans="1:42" x14ac:dyDescent="0.25">
      <c r="A13" s="303"/>
      <c r="B13" s="76"/>
      <c r="C13" s="328"/>
      <c r="D13" s="152"/>
      <c r="E13" s="71"/>
      <c r="F13" s="149"/>
      <c r="G13" s="100"/>
      <c r="H13" s="101"/>
      <c r="I13" s="108"/>
      <c r="J13" s="76"/>
      <c r="K13" s="101"/>
      <c r="L13" s="311"/>
      <c r="M13" s="330"/>
      <c r="N13" s="150"/>
      <c r="O13" s="144"/>
      <c r="P13" s="145"/>
      <c r="Q13" s="118"/>
      <c r="R13" s="83"/>
      <c r="S13" s="118"/>
      <c r="T13" s="85"/>
      <c r="U13" s="108"/>
      <c r="V13" s="85"/>
      <c r="W13" s="308"/>
      <c r="X13" s="83"/>
      <c r="Y13" s="133"/>
      <c r="Z13" s="83"/>
      <c r="AA13" s="309"/>
      <c r="AB13" s="89"/>
      <c r="AC13" s="329"/>
      <c r="AD13" s="30"/>
      <c r="AE13" s="30"/>
      <c r="AF13" s="30"/>
      <c r="AG13" s="30"/>
      <c r="AI13" s="30"/>
      <c r="AJ13" s="30"/>
      <c r="AK13" s="30"/>
      <c r="AL13" s="30"/>
    </row>
    <row r="14" spans="1:42" x14ac:dyDescent="0.25">
      <c r="A14" s="303"/>
      <c r="B14" s="76"/>
      <c r="C14" s="328"/>
      <c r="D14" s="148"/>
      <c r="E14" s="71"/>
      <c r="F14" s="149"/>
      <c r="G14" s="100"/>
      <c r="H14" s="101"/>
      <c r="I14" s="108"/>
      <c r="J14" s="76"/>
      <c r="K14" s="101"/>
      <c r="L14" s="311"/>
      <c r="M14" s="330"/>
      <c r="N14" s="150"/>
      <c r="O14" s="144"/>
      <c r="P14" s="145"/>
      <c r="Q14" s="118"/>
      <c r="R14" s="83"/>
      <c r="S14" s="118"/>
      <c r="T14" s="85"/>
      <c r="U14" s="108"/>
      <c r="V14" s="85"/>
      <c r="W14" s="308"/>
      <c r="X14" s="83"/>
      <c r="Y14" s="133"/>
      <c r="Z14" s="83"/>
      <c r="AA14" s="309"/>
      <c r="AB14" s="89"/>
      <c r="AC14" s="329"/>
      <c r="AD14" s="30"/>
      <c r="AE14" s="30"/>
      <c r="AF14" s="30"/>
      <c r="AG14" s="30"/>
      <c r="AI14" s="30"/>
    </row>
    <row r="15" spans="1:42" x14ac:dyDescent="0.25">
      <c r="A15" s="303"/>
      <c r="B15" s="76"/>
      <c r="C15" s="328"/>
      <c r="D15" s="148"/>
      <c r="E15" s="71"/>
      <c r="F15" s="149"/>
      <c r="G15" s="100"/>
      <c r="H15" s="101"/>
      <c r="I15" s="108"/>
      <c r="J15" s="76"/>
      <c r="K15" s="101"/>
      <c r="L15" s="311"/>
      <c r="M15" s="330"/>
      <c r="N15" s="150"/>
      <c r="O15" s="144"/>
      <c r="P15" s="145"/>
      <c r="Q15" s="118"/>
      <c r="R15" s="83"/>
      <c r="S15" s="118"/>
      <c r="T15" s="85"/>
      <c r="U15" s="108"/>
      <c r="V15" s="85"/>
      <c r="W15" s="308"/>
      <c r="X15" s="83"/>
      <c r="Y15" s="133"/>
      <c r="Z15" s="83"/>
      <c r="AA15" s="309"/>
      <c r="AB15" s="89"/>
      <c r="AC15" s="329"/>
      <c r="AD15" s="30"/>
      <c r="AE15" s="30"/>
      <c r="AF15" s="30"/>
      <c r="AG15" s="30"/>
      <c r="AI15" s="30"/>
    </row>
    <row r="16" spans="1:42" x14ac:dyDescent="0.25">
      <c r="A16" s="303"/>
      <c r="B16" s="76"/>
      <c r="C16" s="328"/>
      <c r="D16" s="148"/>
      <c r="E16" s="71"/>
      <c r="F16" s="149"/>
      <c r="G16" s="100"/>
      <c r="H16" s="101"/>
      <c r="I16" s="108"/>
      <c r="J16" s="76"/>
      <c r="K16" s="101"/>
      <c r="L16" s="311"/>
      <c r="M16" s="330"/>
      <c r="N16" s="150"/>
      <c r="O16" s="144"/>
      <c r="P16" s="145"/>
      <c r="Q16" s="118"/>
      <c r="R16" s="83"/>
      <c r="S16" s="118"/>
      <c r="T16" s="85"/>
      <c r="U16" s="108"/>
      <c r="V16" s="85"/>
      <c r="W16" s="308"/>
      <c r="X16" s="83"/>
      <c r="Y16" s="133"/>
      <c r="Z16" s="83"/>
      <c r="AA16" s="309"/>
      <c r="AB16" s="89"/>
      <c r="AC16" s="329"/>
      <c r="AD16" s="30"/>
      <c r="AE16" s="30"/>
      <c r="AF16" s="30"/>
      <c r="AG16" s="30"/>
      <c r="AI16" s="30"/>
    </row>
    <row r="17" spans="1:39" x14ac:dyDescent="0.25">
      <c r="A17" s="303"/>
      <c r="B17" s="76"/>
      <c r="C17" s="328"/>
      <c r="D17" s="148"/>
      <c r="E17" s="71"/>
      <c r="F17" s="149"/>
      <c r="G17" s="100"/>
      <c r="H17" s="101"/>
      <c r="I17" s="108"/>
      <c r="J17" s="76"/>
      <c r="K17" s="101"/>
      <c r="L17" s="311"/>
      <c r="M17" s="330"/>
      <c r="N17" s="150"/>
      <c r="O17" s="144"/>
      <c r="P17" s="145"/>
      <c r="Q17" s="118"/>
      <c r="R17" s="83"/>
      <c r="S17" s="118"/>
      <c r="T17" s="85"/>
      <c r="U17" s="108"/>
      <c r="V17" s="85"/>
      <c r="W17" s="308"/>
      <c r="X17" s="83"/>
      <c r="Y17" s="133"/>
      <c r="Z17" s="83"/>
      <c r="AA17" s="309"/>
      <c r="AB17" s="89"/>
      <c r="AC17" s="329"/>
      <c r="AD17" s="30"/>
      <c r="AE17" s="30"/>
      <c r="AF17" s="30"/>
      <c r="AG17" s="30"/>
      <c r="AI17" s="30"/>
    </row>
    <row r="18" spans="1:39" x14ac:dyDescent="0.25">
      <c r="A18" s="303"/>
      <c r="B18" s="76"/>
      <c r="C18" s="328"/>
      <c r="D18" s="148"/>
      <c r="E18" s="71"/>
      <c r="F18" s="149"/>
      <c r="G18" s="100"/>
      <c r="H18" s="101"/>
      <c r="I18" s="108"/>
      <c r="J18" s="76"/>
      <c r="K18" s="101"/>
      <c r="L18" s="311"/>
      <c r="M18" s="330"/>
      <c r="N18" s="329"/>
      <c r="O18" s="144"/>
      <c r="P18" s="145"/>
      <c r="Q18" s="118"/>
      <c r="R18" s="83"/>
      <c r="S18" s="118"/>
      <c r="T18" s="85"/>
      <c r="U18" s="108"/>
      <c r="V18" s="85"/>
      <c r="W18" s="308"/>
      <c r="X18" s="83"/>
      <c r="Y18" s="133"/>
      <c r="Z18" s="83"/>
      <c r="AA18" s="309"/>
      <c r="AB18" s="89"/>
      <c r="AC18" s="329"/>
      <c r="AD18" s="30"/>
      <c r="AE18" s="30"/>
      <c r="AF18" s="30"/>
      <c r="AG18" s="30"/>
      <c r="AI18" s="30"/>
    </row>
    <row r="19" spans="1:39" x14ac:dyDescent="0.25">
      <c r="A19" s="303"/>
      <c r="B19" s="76"/>
      <c r="C19" s="328"/>
      <c r="D19" s="148"/>
      <c r="E19" s="71"/>
      <c r="F19" s="149"/>
      <c r="G19" s="100"/>
      <c r="H19" s="101"/>
      <c r="I19" s="108"/>
      <c r="J19" s="76"/>
      <c r="K19" s="101"/>
      <c r="L19" s="311"/>
      <c r="M19" s="330"/>
      <c r="N19" s="329"/>
      <c r="O19" s="144"/>
      <c r="P19" s="145"/>
      <c r="Q19" s="118"/>
      <c r="R19" s="83"/>
      <c r="S19" s="118"/>
      <c r="T19" s="85"/>
      <c r="U19" s="108"/>
      <c r="V19" s="85"/>
      <c r="W19" s="308"/>
      <c r="X19" s="83"/>
      <c r="Y19" s="133"/>
      <c r="Z19" s="83"/>
      <c r="AA19" s="309"/>
      <c r="AB19" s="89"/>
      <c r="AC19" s="329"/>
      <c r="AD19" s="30"/>
      <c r="AE19" s="30"/>
      <c r="AF19" s="30"/>
      <c r="AG19" s="30"/>
      <c r="AI19" s="30"/>
    </row>
    <row r="20" spans="1:39" x14ac:dyDescent="0.25">
      <c r="A20" s="303"/>
      <c r="B20" s="76"/>
      <c r="C20" s="328"/>
      <c r="D20" s="148"/>
      <c r="E20" s="71"/>
      <c r="F20" s="149"/>
      <c r="G20" s="100"/>
      <c r="H20" s="101"/>
      <c r="I20" s="108"/>
      <c r="J20" s="76"/>
      <c r="K20" s="101"/>
      <c r="L20" s="311"/>
      <c r="M20" s="116"/>
      <c r="N20" s="329"/>
      <c r="O20" s="144"/>
      <c r="P20" s="145"/>
      <c r="Q20" s="118"/>
      <c r="R20" s="83"/>
      <c r="S20" s="118"/>
      <c r="T20" s="85"/>
      <c r="U20" s="108"/>
      <c r="V20" s="85"/>
      <c r="W20" s="308"/>
      <c r="X20" s="83"/>
      <c r="Y20" s="133"/>
      <c r="Z20" s="83"/>
      <c r="AA20" s="309"/>
      <c r="AB20" s="89"/>
      <c r="AC20" s="329"/>
      <c r="AD20" s="30"/>
      <c r="AE20" s="30"/>
      <c r="AF20" s="30"/>
      <c r="AG20" s="30"/>
      <c r="AI20" s="30"/>
    </row>
    <row r="21" spans="1:39" ht="15.75" customHeight="1" x14ac:dyDescent="0.25">
      <c r="A21" s="303"/>
      <c r="B21" s="76"/>
      <c r="C21" s="328"/>
      <c r="D21" s="148"/>
      <c r="E21" s="71"/>
      <c r="F21" s="149"/>
      <c r="G21" s="100"/>
      <c r="H21" s="101"/>
      <c r="I21" s="108"/>
      <c r="J21" s="76"/>
      <c r="K21" s="101"/>
      <c r="L21" s="311"/>
      <c r="M21" s="116"/>
      <c r="N21" s="329"/>
      <c r="O21" s="144"/>
      <c r="P21" s="145"/>
      <c r="Q21" s="118"/>
      <c r="R21" s="83"/>
      <c r="S21" s="118"/>
      <c r="T21" s="85"/>
      <c r="U21" s="108"/>
      <c r="V21" s="85"/>
      <c r="W21" s="308"/>
      <c r="X21" s="83"/>
      <c r="Y21" s="133"/>
      <c r="Z21" s="83"/>
      <c r="AA21" s="309"/>
      <c r="AB21" s="89"/>
      <c r="AC21" s="329"/>
      <c r="AD21" s="30"/>
      <c r="AE21" s="30"/>
      <c r="AF21" s="30"/>
      <c r="AG21" s="30"/>
      <c r="AI21" s="30"/>
    </row>
    <row r="22" spans="1:39" ht="15.75" customHeight="1" x14ac:dyDescent="0.25">
      <c r="A22" s="303"/>
      <c r="B22" s="76"/>
      <c r="C22" s="328"/>
      <c r="D22" s="148"/>
      <c r="E22" s="71"/>
      <c r="F22" s="149"/>
      <c r="G22" s="100"/>
      <c r="H22" s="101"/>
      <c r="I22" s="108"/>
      <c r="J22" s="76"/>
      <c r="K22" s="101"/>
      <c r="L22" s="311"/>
      <c r="M22" s="116"/>
      <c r="N22" s="329"/>
      <c r="O22" s="144"/>
      <c r="P22" s="145"/>
      <c r="Q22" s="118"/>
      <c r="R22" s="83"/>
      <c r="S22" s="118"/>
      <c r="T22" s="85"/>
      <c r="U22" s="108"/>
      <c r="V22" s="85"/>
      <c r="W22" s="308"/>
      <c r="X22" s="83"/>
      <c r="Y22" s="133"/>
      <c r="Z22" s="83"/>
      <c r="AA22" s="309"/>
      <c r="AB22" s="89"/>
      <c r="AC22" s="329"/>
      <c r="AD22" s="30"/>
      <c r="AE22" s="30"/>
      <c r="AF22" s="30"/>
      <c r="AG22" s="30"/>
      <c r="AI22" s="30"/>
    </row>
    <row r="23" spans="1:39" ht="15.75" customHeight="1" x14ac:dyDescent="0.25">
      <c r="A23" s="303"/>
      <c r="B23" s="76"/>
      <c r="C23" s="328"/>
      <c r="D23" s="148"/>
      <c r="E23" s="71"/>
      <c r="F23" s="149"/>
      <c r="G23" s="100"/>
      <c r="H23" s="101"/>
      <c r="I23" s="108"/>
      <c r="J23" s="76"/>
      <c r="K23" s="101"/>
      <c r="L23" s="311"/>
      <c r="M23" s="116"/>
      <c r="N23" s="329"/>
      <c r="O23" s="144"/>
      <c r="P23" s="145"/>
      <c r="Q23" s="118"/>
      <c r="R23" s="83"/>
      <c r="S23" s="118"/>
      <c r="T23" s="85"/>
      <c r="U23" s="108"/>
      <c r="V23" s="85"/>
      <c r="W23" s="308"/>
      <c r="X23" s="83"/>
      <c r="Y23" s="133"/>
      <c r="Z23" s="83"/>
      <c r="AA23" s="309"/>
      <c r="AB23" s="89"/>
      <c r="AC23" s="329"/>
      <c r="AD23" s="30"/>
      <c r="AE23" s="30"/>
      <c r="AF23" s="30"/>
      <c r="AG23" s="30"/>
      <c r="AI23" s="30"/>
    </row>
    <row r="24" spans="1:39" ht="15.75" customHeight="1" x14ac:dyDescent="0.25">
      <c r="A24" s="303"/>
      <c r="B24" s="76"/>
      <c r="C24" s="328"/>
      <c r="D24" s="148"/>
      <c r="E24" s="71"/>
      <c r="F24" s="149"/>
      <c r="G24" s="100"/>
      <c r="H24" s="101"/>
      <c r="I24" s="108"/>
      <c r="J24" s="76"/>
      <c r="K24" s="101"/>
      <c r="L24" s="311"/>
      <c r="M24" s="116"/>
      <c r="N24" s="329"/>
      <c r="O24" s="144"/>
      <c r="P24" s="145"/>
      <c r="Q24" s="118"/>
      <c r="R24" s="83"/>
      <c r="S24" s="118"/>
      <c r="T24" s="85"/>
      <c r="U24" s="108"/>
      <c r="V24" s="85"/>
      <c r="W24" s="308"/>
      <c r="X24" s="83"/>
      <c r="Y24" s="133"/>
      <c r="Z24" s="83"/>
      <c r="AA24" s="309"/>
      <c r="AB24" s="89"/>
      <c r="AC24" s="329"/>
      <c r="AD24" s="30"/>
      <c r="AE24" s="30"/>
      <c r="AF24" s="30"/>
      <c r="AG24" s="30"/>
      <c r="AI24" s="30"/>
    </row>
    <row r="25" spans="1:39" ht="15.75" customHeight="1" x14ac:dyDescent="0.25">
      <c r="A25" s="331"/>
      <c r="B25" s="159"/>
      <c r="C25" s="332"/>
      <c r="D25" s="161"/>
      <c r="E25" s="333"/>
      <c r="F25" s="163"/>
      <c r="G25" s="164"/>
      <c r="H25" s="117"/>
      <c r="I25" s="334"/>
      <c r="J25" s="159"/>
      <c r="K25" s="117"/>
      <c r="L25" s="335"/>
      <c r="M25" s="336"/>
      <c r="N25" s="337"/>
      <c r="O25" s="169"/>
      <c r="P25" s="170"/>
      <c r="Q25" s="172"/>
      <c r="R25" s="338"/>
      <c r="S25" s="172"/>
      <c r="T25" s="39"/>
      <c r="U25" s="334"/>
      <c r="V25" s="39"/>
      <c r="W25" s="339"/>
      <c r="X25" s="173"/>
      <c r="Y25" s="340"/>
      <c r="Z25" s="173"/>
      <c r="AA25" s="341"/>
      <c r="AB25" s="176"/>
      <c r="AC25" s="342"/>
      <c r="AD25" s="30"/>
      <c r="AE25" s="30"/>
      <c r="AF25" s="30"/>
      <c r="AG25" s="30"/>
      <c r="AI25" s="30"/>
    </row>
    <row r="26" spans="1:39" ht="15.75" customHeight="1" x14ac:dyDescent="0.25">
      <c r="A26" s="1249" t="s">
        <v>102</v>
      </c>
      <c r="B26" s="1250"/>
      <c r="C26" s="1251"/>
      <c r="D26" s="343" t="s">
        <v>103</v>
      </c>
      <c r="E26" s="343" t="s">
        <v>61</v>
      </c>
      <c r="F26" s="344" t="s">
        <v>103</v>
      </c>
      <c r="G26" s="1252" t="s">
        <v>103</v>
      </c>
      <c r="H26" s="1251"/>
      <c r="I26" s="1252" t="s">
        <v>102</v>
      </c>
      <c r="J26" s="1250"/>
      <c r="K26" s="1251"/>
      <c r="L26" s="1253" t="s">
        <v>102</v>
      </c>
      <c r="M26" s="1250"/>
      <c r="N26" s="1251"/>
      <c r="O26" s="1252" t="s">
        <v>104</v>
      </c>
      <c r="P26" s="1251"/>
      <c r="Q26" s="1252" t="s">
        <v>104</v>
      </c>
      <c r="R26" s="1251"/>
      <c r="S26" s="1252" t="s">
        <v>104</v>
      </c>
      <c r="T26" s="1251"/>
      <c r="U26" s="1252" t="s">
        <v>104</v>
      </c>
      <c r="V26" s="1251"/>
      <c r="W26" s="1254" t="s">
        <v>102</v>
      </c>
      <c r="X26" s="1255"/>
      <c r="Y26" s="1256" t="s">
        <v>102</v>
      </c>
      <c r="Z26" s="1255"/>
      <c r="AA26" s="1240" t="s">
        <v>102</v>
      </c>
      <c r="AB26" s="1241"/>
      <c r="AC26" s="1242"/>
      <c r="AE26" s="30"/>
      <c r="AF26" s="30"/>
      <c r="AG26" s="30"/>
      <c r="AI26" s="30"/>
    </row>
    <row r="27" spans="1:39" ht="15.75" customHeight="1" x14ac:dyDescent="0.25">
      <c r="A27" s="345">
        <f>SUM(A3:A25)</f>
        <v>0</v>
      </c>
      <c r="B27" s="346"/>
      <c r="C27" s="196">
        <f t="shared" ref="C27:D27" si="0">SUM(C3:C25)</f>
        <v>0</v>
      </c>
      <c r="D27" s="197">
        <f t="shared" si="0"/>
        <v>0</v>
      </c>
      <c r="E27" s="203">
        <v>0</v>
      </c>
      <c r="F27" s="347">
        <f t="shared" ref="F27:I27" si="1">SUM(F3:F25)</f>
        <v>0</v>
      </c>
      <c r="G27" s="197">
        <f t="shared" si="1"/>
        <v>0</v>
      </c>
      <c r="H27" s="199">
        <f t="shared" si="1"/>
        <v>0</v>
      </c>
      <c r="I27" s="197">
        <f t="shared" si="1"/>
        <v>0</v>
      </c>
      <c r="J27" s="348"/>
      <c r="K27" s="349">
        <f t="shared" ref="K27:L27" si="2">SUM(K3:K25)</f>
        <v>0</v>
      </c>
      <c r="L27" s="350">
        <f t="shared" si="2"/>
        <v>0</v>
      </c>
      <c r="M27" s="424">
        <f>N3+N4+N5+N6+N13+N14+N15+N16+N17</f>
        <v>0</v>
      </c>
      <c r="N27" s="197">
        <f>N7+N8+N9+N10+N11+N12</f>
        <v>0</v>
      </c>
      <c r="O27" s="353">
        <f>O3+O5</f>
        <v>0</v>
      </c>
      <c r="P27" s="354">
        <f>P3</f>
        <v>0</v>
      </c>
      <c r="Q27" s="203">
        <f>SUM(Q3:Q25)</f>
        <v>0</v>
      </c>
      <c r="R27" s="355">
        <v>0</v>
      </c>
      <c r="S27" s="203">
        <f>SUM(S3:S25)</f>
        <v>0</v>
      </c>
      <c r="T27" s="356">
        <v>0</v>
      </c>
      <c r="U27" s="357">
        <f>SUM(U3:U25)</f>
        <v>0</v>
      </c>
      <c r="V27" s="356">
        <v>850</v>
      </c>
      <c r="W27" s="1247">
        <f>SUM(W3:W25)</f>
        <v>0</v>
      </c>
      <c r="X27" s="1248"/>
      <c r="Y27" s="1247">
        <f>SUM(Y3:Y25)</f>
        <v>0</v>
      </c>
      <c r="Z27" s="1248"/>
      <c r="AA27" s="358">
        <f>SUM(AA3:AA25)</f>
        <v>0</v>
      </c>
      <c r="AB27" s="359"/>
      <c r="AC27" s="360">
        <f>SUM(AC3:AC25)</f>
        <v>0</v>
      </c>
      <c r="AE27" s="30"/>
      <c r="AF27" s="30"/>
      <c r="AG27" s="30"/>
      <c r="AI27" s="30"/>
    </row>
    <row r="28" spans="1:39" ht="15.75" customHeight="1" x14ac:dyDescent="0.25">
      <c r="U28">
        <v>550</v>
      </c>
      <c r="V28" t="s">
        <v>105</v>
      </c>
      <c r="AE28" s="30"/>
      <c r="AF28" s="30"/>
      <c r="AG28" s="30"/>
      <c r="AI28" s="30"/>
    </row>
    <row r="29" spans="1:39" ht="15.75" customHeight="1" x14ac:dyDescent="0.25">
      <c r="U29">
        <v>100</v>
      </c>
      <c r="V29" t="s">
        <v>126</v>
      </c>
      <c r="AE29" s="30"/>
      <c r="AF29" s="30"/>
      <c r="AG29" s="30"/>
      <c r="AI29" s="30"/>
    </row>
    <row r="30" spans="1:39" ht="15.75" customHeight="1" x14ac:dyDescent="0.25">
      <c r="E30" s="30"/>
      <c r="F30" s="30"/>
      <c r="G30" s="30"/>
      <c r="M30" s="30"/>
      <c r="P30" s="30"/>
      <c r="R30" s="30"/>
      <c r="T30" s="30"/>
      <c r="U30" s="30"/>
      <c r="AF30" s="30"/>
      <c r="AG30" s="30"/>
      <c r="AI30" s="30"/>
      <c r="AJ30" s="30"/>
      <c r="AK30" s="30"/>
      <c r="AM30" s="30"/>
    </row>
    <row r="31" spans="1:39" ht="15.75" customHeight="1" x14ac:dyDescent="0.25">
      <c r="E31" s="30"/>
      <c r="F31" s="30"/>
      <c r="G31" s="30"/>
      <c r="J31" s="30"/>
      <c r="K31" s="30"/>
      <c r="L31" s="30"/>
      <c r="M31" s="30"/>
      <c r="P31" s="30"/>
      <c r="R31" s="30"/>
      <c r="T31" s="30"/>
      <c r="U31" s="361"/>
      <c r="AF31" s="30"/>
      <c r="AG31" s="30"/>
      <c r="AI31" s="30"/>
      <c r="AJ31" s="30"/>
      <c r="AK31" s="30"/>
      <c r="AM31" s="30"/>
    </row>
    <row r="32" spans="1:39" ht="15.75" customHeight="1" x14ac:dyDescent="0.25">
      <c r="E32" s="30"/>
      <c r="F32" s="30"/>
      <c r="G32" s="30"/>
      <c r="J32" s="30"/>
      <c r="K32" s="30"/>
      <c r="L32" s="30"/>
      <c r="M32" s="30"/>
      <c r="P32" s="30"/>
      <c r="R32" s="30"/>
      <c r="T32" s="30"/>
      <c r="U32" s="30"/>
      <c r="AF32" s="30"/>
      <c r="AG32" s="30"/>
      <c r="AI32" s="30"/>
      <c r="AJ32" s="30"/>
      <c r="AK32" s="30"/>
      <c r="AM32" s="30"/>
    </row>
    <row r="33" spans="5:39" ht="15.75" customHeight="1" x14ac:dyDescent="0.25">
      <c r="E33" s="30"/>
      <c r="F33" s="30"/>
      <c r="G33" s="30"/>
      <c r="J33" s="30"/>
      <c r="K33" s="30"/>
      <c r="L33" s="30"/>
      <c r="M33" s="30"/>
      <c r="P33" s="30"/>
      <c r="Q33" s="30"/>
      <c r="R33" s="30"/>
      <c r="T33" s="30"/>
      <c r="U33" s="30"/>
      <c r="AF33" s="30"/>
      <c r="AG33" s="30"/>
      <c r="AI33" s="30"/>
      <c r="AJ33" s="30"/>
      <c r="AK33" s="30"/>
      <c r="AM33" s="30"/>
    </row>
    <row r="34" spans="5:39" ht="15.75" customHeight="1" x14ac:dyDescent="0.25">
      <c r="E34" s="30"/>
      <c r="F34" s="30"/>
      <c r="G34" s="30"/>
      <c r="J34" s="30"/>
      <c r="K34" s="30"/>
      <c r="L34" s="30"/>
      <c r="M34" s="30"/>
      <c r="P34" s="30"/>
      <c r="Q34" s="30"/>
      <c r="R34" s="30"/>
      <c r="T34" s="30"/>
      <c r="U34" s="30"/>
      <c r="AF34" s="30"/>
      <c r="AG34" s="30"/>
      <c r="AI34" s="30"/>
      <c r="AJ34" s="30"/>
      <c r="AK34" s="30"/>
      <c r="AM34" s="30"/>
    </row>
    <row r="35" spans="5:39" ht="15.75" customHeight="1" x14ac:dyDescent="0.25">
      <c r="E35" s="30"/>
      <c r="F35" s="30"/>
      <c r="G35" s="30"/>
      <c r="J35" s="30"/>
      <c r="K35" s="30"/>
      <c r="L35" s="30"/>
      <c r="M35" s="30"/>
      <c r="P35" s="30"/>
      <c r="Q35" s="30"/>
      <c r="R35" s="30"/>
      <c r="T35" s="30"/>
      <c r="U35" s="30"/>
      <c r="AF35" s="30"/>
      <c r="AG35" s="30"/>
      <c r="AI35" s="30"/>
      <c r="AJ35" s="30"/>
      <c r="AK35" s="30"/>
      <c r="AM35" s="30"/>
    </row>
    <row r="36" spans="5:39" ht="15.75" customHeight="1" x14ac:dyDescent="0.25">
      <c r="Q36" s="30"/>
    </row>
    <row r="37" spans="5:39" ht="15.75" customHeight="1" x14ac:dyDescent="0.25">
      <c r="Q37" s="30"/>
    </row>
    <row r="38" spans="5:39" ht="15.75" customHeight="1" x14ac:dyDescent="0.25"/>
    <row r="39" spans="5:39" ht="15.75" customHeight="1" x14ac:dyDescent="0.25"/>
    <row r="40" spans="5:39" ht="15.75" customHeight="1" x14ac:dyDescent="0.25"/>
    <row r="41" spans="5:39" ht="15.75" customHeight="1" x14ac:dyDescent="0.25"/>
    <row r="42" spans="5:39" ht="15.75" customHeight="1" x14ac:dyDescent="0.25"/>
    <row r="43" spans="5:39" ht="15.75" customHeight="1" x14ac:dyDescent="0.25"/>
    <row r="44" spans="5:39" ht="15.75" customHeight="1" x14ac:dyDescent="0.25"/>
    <row r="45" spans="5:39" ht="15.75" customHeight="1" x14ac:dyDescent="0.25"/>
    <row r="46" spans="5:39" ht="15.75" customHeight="1" x14ac:dyDescent="0.25"/>
    <row r="47" spans="5:39" ht="15.75" customHeight="1" x14ac:dyDescent="0.25"/>
    <row r="48" spans="5:3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27">
    <mergeCell ref="O4:P4"/>
    <mergeCell ref="W26:X26"/>
    <mergeCell ref="Y26:Z26"/>
    <mergeCell ref="AA26:AC26"/>
    <mergeCell ref="AD9:AE9"/>
    <mergeCell ref="AD4:AE4"/>
    <mergeCell ref="O26:P26"/>
    <mergeCell ref="Q26:R26"/>
    <mergeCell ref="S26:T26"/>
    <mergeCell ref="U26:V26"/>
    <mergeCell ref="W27:X27"/>
    <mergeCell ref="Y27:Z27"/>
    <mergeCell ref="O5:P5"/>
    <mergeCell ref="A26:C26"/>
    <mergeCell ref="G26:H26"/>
    <mergeCell ref="I26:K26"/>
    <mergeCell ref="L26:N26"/>
    <mergeCell ref="AA1:AC1"/>
    <mergeCell ref="AD1:AE1"/>
    <mergeCell ref="AF1:AG1"/>
    <mergeCell ref="Q1:Z1"/>
    <mergeCell ref="AF4:AG4"/>
    <mergeCell ref="A1:F1"/>
    <mergeCell ref="G1:H1"/>
    <mergeCell ref="I1:K1"/>
    <mergeCell ref="L1:N1"/>
    <mergeCell ref="O1:P1"/>
  </mergeCells>
  <pageMargins left="0.7" right="0.7" top="0.75" bottom="0.75" header="0" footer="0"/>
  <pageSetup orientation="landscape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68687-D682-1546-AF09-BCECE7874310}">
  <dimension ref="A1:X46"/>
  <sheetViews>
    <sheetView topLeftCell="G10" zoomScaleNormal="60" zoomScaleSheetLayoutView="100" workbookViewId="0">
      <selection activeCell="Q18" sqref="Q18"/>
    </sheetView>
  </sheetViews>
  <sheetFormatPr defaultColWidth="8.5703125" defaultRowHeight="15" x14ac:dyDescent="0.25"/>
  <cols>
    <col min="1" max="1" width="8.5703125" bestFit="1" customWidth="1"/>
    <col min="2" max="2" width="9.140625" customWidth="1"/>
    <col min="3" max="3" width="11" bestFit="1" customWidth="1"/>
    <col min="4" max="4" width="7.42578125" bestFit="1" customWidth="1"/>
    <col min="5" max="5" width="17.42578125" customWidth="1"/>
    <col min="6" max="6" width="11.28515625" bestFit="1" customWidth="1"/>
    <col min="7" max="8" width="11.28515625" customWidth="1"/>
    <col min="9" max="9" width="7.85546875" customWidth="1"/>
    <col min="10" max="10" width="14.5703125" customWidth="1"/>
    <col min="11" max="11" width="12" bestFit="1" customWidth="1"/>
    <col min="12" max="12" width="8" bestFit="1" customWidth="1"/>
    <col min="13" max="13" width="14.85546875" bestFit="1" customWidth="1"/>
    <col min="14" max="14" width="10.42578125" bestFit="1" customWidth="1"/>
    <col min="15" max="15" width="8.7109375" bestFit="1" customWidth="1"/>
    <col min="16" max="16" width="8.42578125" bestFit="1" customWidth="1"/>
    <col min="17" max="17" width="22.85546875" bestFit="1" customWidth="1"/>
    <col min="18" max="19" width="20.140625" bestFit="1" customWidth="1"/>
    <col min="20" max="20" width="8.7109375" bestFit="1" customWidth="1"/>
    <col min="21" max="21" width="13" bestFit="1" customWidth="1"/>
    <col min="22" max="22" width="11.28515625" bestFit="1" customWidth="1"/>
    <col min="23" max="23" width="10.28515625" bestFit="1" customWidth="1"/>
    <col min="24" max="24" width="8.5703125" style="643"/>
  </cols>
  <sheetData>
    <row r="1" spans="1:24" ht="21" x14ac:dyDescent="0.25">
      <c r="A1" s="1196"/>
      <c r="B1" s="1196"/>
    </row>
    <row r="2" spans="1:24" ht="15.75" thickBot="1" x14ac:dyDescent="0.3">
      <c r="A2" s="1193"/>
      <c r="B2" s="1193"/>
      <c r="C2" s="650" t="s">
        <v>0</v>
      </c>
      <c r="D2" s="650" t="s">
        <v>1</v>
      </c>
      <c r="E2" s="650" t="s">
        <v>127</v>
      </c>
      <c r="F2" s="650" t="s">
        <v>128</v>
      </c>
      <c r="G2" s="650" t="s">
        <v>286</v>
      </c>
      <c r="H2" s="650" t="s">
        <v>317</v>
      </c>
      <c r="I2" s="650" t="s">
        <v>285</v>
      </c>
      <c r="J2" s="650" t="s">
        <v>4</v>
      </c>
      <c r="K2" s="650" t="s">
        <v>5</v>
      </c>
      <c r="L2" s="650" t="s">
        <v>6</v>
      </c>
      <c r="M2" s="650" t="s">
        <v>7</v>
      </c>
      <c r="N2" s="650" t="s">
        <v>265</v>
      </c>
      <c r="O2" s="650" t="s">
        <v>8</v>
      </c>
      <c r="P2" s="650" t="s">
        <v>129</v>
      </c>
      <c r="Q2" s="650" t="s">
        <v>9</v>
      </c>
      <c r="R2" s="650" t="s">
        <v>155</v>
      </c>
      <c r="S2" s="650" t="s">
        <v>10</v>
      </c>
      <c r="T2" s="650" t="s">
        <v>11</v>
      </c>
      <c r="U2" s="650" t="s">
        <v>12</v>
      </c>
      <c r="V2" s="650" t="s">
        <v>13</v>
      </c>
      <c r="W2" s="650" t="s">
        <v>14</v>
      </c>
    </row>
    <row r="3" spans="1:24" ht="15.75" thickBot="1" x14ac:dyDescent="0.3">
      <c r="A3" s="1289"/>
      <c r="B3" s="1292"/>
      <c r="C3" s="1080">
        <v>45261</v>
      </c>
      <c r="D3" s="656" t="str">
        <f t="shared" ref="D3:D36" si="0">CHOOSE(WEEKDAY(X3),"Po","Út","St","Čt","Pá","So","Ne")</f>
        <v>Pá</v>
      </c>
      <c r="E3" s="724">
        <f t="shared" ref="E3:E36" si="1">I3-G3-H3</f>
        <v>0</v>
      </c>
      <c r="F3" s="1079">
        <f t="shared" ref="F3:F36" si="2">(P3*E3)*24</f>
        <v>0</v>
      </c>
      <c r="G3" s="724"/>
      <c r="H3" s="724"/>
      <c r="I3" s="724"/>
      <c r="J3" s="654"/>
      <c r="K3" s="657"/>
      <c r="L3" s="654"/>
      <c r="M3" s="656"/>
      <c r="N3" s="654"/>
      <c r="O3" s="657"/>
      <c r="P3" s="713"/>
      <c r="Q3" s="1081">
        <f>(Q5+Q7)</f>
        <v>0</v>
      </c>
      <c r="R3" s="656">
        <f>R5+R7</f>
        <v>0</v>
      </c>
      <c r="S3" s="853">
        <f>'09hod23'!S6</f>
        <v>0</v>
      </c>
      <c r="T3" s="644"/>
      <c r="U3" s="644" t="str">
        <f>'11hod23'!U6</f>
        <v>Výplata za Listopad</v>
      </c>
      <c r="V3" s="875" t="str">
        <f>'11hod23'!V6</f>
        <v>xx.10.2023</v>
      </c>
      <c r="W3" s="722">
        <f>Q7*20</f>
        <v>0</v>
      </c>
      <c r="X3" s="643">
        <f t="shared" ref="X3:X36" si="3">WEEKDAY(C3,2)</f>
        <v>5</v>
      </c>
    </row>
    <row r="4" spans="1:24" x14ac:dyDescent="0.25">
      <c r="A4" s="1289"/>
      <c r="B4" s="1292"/>
      <c r="C4" s="1080">
        <v>45262</v>
      </c>
      <c r="D4" s="657" t="str">
        <f t="shared" si="0"/>
        <v>So</v>
      </c>
      <c r="E4" s="724">
        <f t="shared" si="1"/>
        <v>0</v>
      </c>
      <c r="F4" s="1079">
        <f t="shared" si="2"/>
        <v>0</v>
      </c>
      <c r="G4" s="724"/>
      <c r="H4" s="724"/>
      <c r="I4" s="724"/>
      <c r="J4" s="654"/>
      <c r="K4" s="657"/>
      <c r="L4" s="654"/>
      <c r="M4" s="657"/>
      <c r="N4" s="654"/>
      <c r="O4" s="657"/>
      <c r="P4" s="714"/>
      <c r="Q4" s="654" t="s">
        <v>19</v>
      </c>
      <c r="R4" s="657" t="s">
        <v>19</v>
      </c>
      <c r="S4" s="738">
        <v>0</v>
      </c>
      <c r="T4" s="611" t="s">
        <v>48</v>
      </c>
      <c r="U4" s="611" t="s">
        <v>48</v>
      </c>
      <c r="V4" s="874"/>
      <c r="W4" s="1178"/>
      <c r="X4" s="643">
        <f t="shared" si="3"/>
        <v>6</v>
      </c>
    </row>
    <row r="5" spans="1:24" x14ac:dyDescent="0.25">
      <c r="A5" s="1290"/>
      <c r="B5" s="1291"/>
      <c r="C5" s="1080">
        <v>45263</v>
      </c>
      <c r="D5" s="657" t="str">
        <f t="shared" si="0"/>
        <v>Ne</v>
      </c>
      <c r="E5" s="724">
        <f t="shared" si="1"/>
        <v>0</v>
      </c>
      <c r="F5" s="1079">
        <f t="shared" si="2"/>
        <v>0</v>
      </c>
      <c r="G5" s="724"/>
      <c r="H5" s="724"/>
      <c r="I5" s="724"/>
      <c r="J5" s="654"/>
      <c r="K5" s="657"/>
      <c r="L5" s="654"/>
      <c r="M5" s="657"/>
      <c r="N5" s="654"/>
      <c r="O5" s="657"/>
      <c r="P5" s="714"/>
      <c r="Q5" s="1082">
        <f>Q41*24</f>
        <v>0</v>
      </c>
      <c r="R5" s="657">
        <v>0</v>
      </c>
      <c r="S5" s="738">
        <v>0</v>
      </c>
      <c r="T5" s="611"/>
      <c r="U5" s="611" t="s">
        <v>158</v>
      </c>
      <c r="V5" s="646"/>
      <c r="W5" s="1178"/>
      <c r="X5" s="643">
        <f t="shared" si="3"/>
        <v>7</v>
      </c>
    </row>
    <row r="6" spans="1:24" x14ac:dyDescent="0.25">
      <c r="A6" s="1290"/>
      <c r="B6" s="1291"/>
      <c r="C6" s="1080">
        <v>45264</v>
      </c>
      <c r="D6" s="657" t="str">
        <f t="shared" si="0"/>
        <v>Po</v>
      </c>
      <c r="E6" s="724">
        <f t="shared" si="1"/>
        <v>0</v>
      </c>
      <c r="F6" s="1079">
        <f t="shared" si="2"/>
        <v>0</v>
      </c>
      <c r="G6" s="724"/>
      <c r="H6" s="724"/>
      <c r="I6" s="724"/>
      <c r="J6" s="654"/>
      <c r="K6" s="657"/>
      <c r="L6" s="654"/>
      <c r="M6" s="657"/>
      <c r="N6" s="654"/>
      <c r="O6" s="657"/>
      <c r="P6" s="714"/>
      <c r="Q6" s="654" t="s">
        <v>14</v>
      </c>
      <c r="R6" s="657" t="s">
        <v>14</v>
      </c>
      <c r="S6" s="738">
        <v>0</v>
      </c>
      <c r="T6" s="611"/>
      <c r="U6" s="611" t="s">
        <v>312</v>
      </c>
      <c r="V6" s="646" t="s">
        <v>655</v>
      </c>
      <c r="W6" s="1178"/>
      <c r="X6" s="643">
        <f t="shared" si="3"/>
        <v>1</v>
      </c>
    </row>
    <row r="7" spans="1:24" ht="15.75" thickBot="1" x14ac:dyDescent="0.3">
      <c r="A7" s="1290"/>
      <c r="B7" s="1291"/>
      <c r="C7" s="1080">
        <v>45265</v>
      </c>
      <c r="D7" s="657" t="str">
        <f t="shared" si="0"/>
        <v>Út</v>
      </c>
      <c r="E7" s="724">
        <f t="shared" si="1"/>
        <v>0</v>
      </c>
      <c r="F7" s="1079">
        <f t="shared" si="2"/>
        <v>0</v>
      </c>
      <c r="G7" s="724"/>
      <c r="H7" s="724"/>
      <c r="I7" s="724"/>
      <c r="J7" s="654"/>
      <c r="K7" s="657"/>
      <c r="L7" s="654"/>
      <c r="M7" s="657"/>
      <c r="N7" s="654"/>
      <c r="O7" s="657"/>
      <c r="P7" s="714"/>
      <c r="Q7" s="1082">
        <f>Q42*24</f>
        <v>0</v>
      </c>
      <c r="R7" s="657">
        <v>0</v>
      </c>
      <c r="S7" s="712" t="s">
        <v>134</v>
      </c>
      <c r="T7" s="647"/>
      <c r="U7" s="647" t="s">
        <v>48</v>
      </c>
      <c r="V7" s="648"/>
      <c r="W7" s="1178"/>
      <c r="X7" s="643">
        <f t="shared" si="3"/>
        <v>2</v>
      </c>
    </row>
    <row r="8" spans="1:24" x14ac:dyDescent="0.25">
      <c r="A8" s="1290"/>
      <c r="B8" s="1291"/>
      <c r="C8" s="1080">
        <v>45266</v>
      </c>
      <c r="D8" s="657" t="str">
        <f t="shared" si="0"/>
        <v>St</v>
      </c>
      <c r="E8" s="724">
        <f t="shared" si="1"/>
        <v>0</v>
      </c>
      <c r="F8" s="1079">
        <f t="shared" si="2"/>
        <v>0</v>
      </c>
      <c r="G8" s="724"/>
      <c r="H8" s="724"/>
      <c r="I8" s="724"/>
      <c r="J8" s="654"/>
      <c r="K8" s="657"/>
      <c r="L8" s="654"/>
      <c r="M8" s="657"/>
      <c r="N8" s="654"/>
      <c r="O8" s="657"/>
      <c r="P8" s="714"/>
      <c r="Q8" s="654" t="s">
        <v>20</v>
      </c>
      <c r="R8" s="1026" t="s">
        <v>20</v>
      </c>
      <c r="S8" s="721">
        <f>S4+S5</f>
        <v>0</v>
      </c>
      <c r="T8" s="1178"/>
      <c r="U8" s="1178"/>
      <c r="V8" s="1178"/>
      <c r="W8" s="1178"/>
      <c r="X8" s="643">
        <f t="shared" si="3"/>
        <v>3</v>
      </c>
    </row>
    <row r="9" spans="1:24" x14ac:dyDescent="0.25">
      <c r="A9" s="1290"/>
      <c r="B9" s="1291"/>
      <c r="C9" s="1080">
        <v>45267</v>
      </c>
      <c r="D9" s="657" t="str">
        <f t="shared" si="0"/>
        <v>Čt</v>
      </c>
      <c r="E9" s="724">
        <f t="shared" si="1"/>
        <v>0</v>
      </c>
      <c r="F9" s="1079">
        <f t="shared" si="2"/>
        <v>0</v>
      </c>
      <c r="G9" s="724"/>
      <c r="H9" s="724"/>
      <c r="I9" s="724"/>
      <c r="J9" s="654"/>
      <c r="K9" s="657"/>
      <c r="L9" s="654"/>
      <c r="M9" s="657"/>
      <c r="N9" s="654"/>
      <c r="O9" s="657"/>
      <c r="P9" s="714"/>
      <c r="Q9" s="654" t="s">
        <v>509</v>
      </c>
      <c r="R9" s="1026" t="s">
        <v>509</v>
      </c>
      <c r="S9" s="657" t="s">
        <v>229</v>
      </c>
      <c r="T9" s="1178"/>
      <c r="U9" s="1178"/>
      <c r="V9" s="1178"/>
      <c r="W9" s="1178"/>
      <c r="X9" s="643">
        <f t="shared" si="3"/>
        <v>4</v>
      </c>
    </row>
    <row r="10" spans="1:24" x14ac:dyDescent="0.25">
      <c r="A10" s="1290"/>
      <c r="B10" s="1291"/>
      <c r="C10" s="1080">
        <v>45268</v>
      </c>
      <c r="D10" s="657" t="str">
        <f t="shared" si="0"/>
        <v>Pá</v>
      </c>
      <c r="E10" s="724">
        <f t="shared" si="1"/>
        <v>0</v>
      </c>
      <c r="F10" s="1079">
        <f t="shared" si="2"/>
        <v>0</v>
      </c>
      <c r="G10" s="724"/>
      <c r="H10" s="724"/>
      <c r="I10" s="724"/>
      <c r="J10" s="654"/>
      <c r="K10" s="657"/>
      <c r="L10" s="654"/>
      <c r="M10" s="657"/>
      <c r="N10" s="654"/>
      <c r="O10" s="657"/>
      <c r="P10" s="714"/>
      <c r="Q10" s="654" t="s">
        <v>23</v>
      </c>
      <c r="R10" s="1026" t="s">
        <v>23</v>
      </c>
      <c r="S10" s="657">
        <f>SUM(S3:S5)</f>
        <v>0</v>
      </c>
      <c r="T10" s="1178"/>
      <c r="U10" s="1178"/>
      <c r="V10" s="1178"/>
      <c r="W10" s="1178"/>
      <c r="X10" s="643">
        <f t="shared" si="3"/>
        <v>5</v>
      </c>
    </row>
    <row r="11" spans="1:24" x14ac:dyDescent="0.25">
      <c r="A11" s="1290"/>
      <c r="B11" s="1291"/>
      <c r="C11" s="1080">
        <v>45269</v>
      </c>
      <c r="D11" s="657" t="str">
        <f t="shared" si="0"/>
        <v>So</v>
      </c>
      <c r="E11" s="724">
        <f t="shared" si="1"/>
        <v>0</v>
      </c>
      <c r="F11" s="1079">
        <f t="shared" si="2"/>
        <v>0</v>
      </c>
      <c r="G11" s="724"/>
      <c r="H11" s="724"/>
      <c r="I11" s="724"/>
      <c r="J11" s="654"/>
      <c r="K11" s="657"/>
      <c r="L11" s="654"/>
      <c r="M11" s="657"/>
      <c r="N11" s="654"/>
      <c r="O11" s="657"/>
      <c r="P11" s="714"/>
      <c r="Q11" s="1083">
        <f>(Q3*400)</f>
        <v>0</v>
      </c>
      <c r="R11" s="1088">
        <f>SUM(R3*400)</f>
        <v>0</v>
      </c>
      <c r="S11" s="719"/>
      <c r="T11" s="1178"/>
      <c r="U11" s="1178"/>
      <c r="V11" s="1178"/>
      <c r="W11" s="1178"/>
      <c r="X11" s="643">
        <f t="shared" si="3"/>
        <v>6</v>
      </c>
    </row>
    <row r="12" spans="1:24" x14ac:dyDescent="0.25">
      <c r="A12" s="1289"/>
      <c r="B12" s="1292"/>
      <c r="C12" s="1080">
        <v>45270</v>
      </c>
      <c r="D12" s="657" t="str">
        <f t="shared" si="0"/>
        <v>Ne</v>
      </c>
      <c r="E12" s="724">
        <f t="shared" si="1"/>
        <v>0</v>
      </c>
      <c r="F12" s="1079">
        <f t="shared" si="2"/>
        <v>0</v>
      </c>
      <c r="G12" s="724"/>
      <c r="H12" s="724"/>
      <c r="I12" s="724"/>
      <c r="J12" s="654"/>
      <c r="K12" s="657"/>
      <c r="L12" s="654"/>
      <c r="M12" s="657"/>
      <c r="N12" s="654"/>
      <c r="O12" s="657"/>
      <c r="P12" s="714"/>
      <c r="Q12" s="654" t="s">
        <v>361</v>
      </c>
      <c r="R12" s="1026" t="s">
        <v>361</v>
      </c>
      <c r="S12" s="1178"/>
      <c r="T12" s="1178"/>
      <c r="U12" s="1178"/>
      <c r="V12" s="1178"/>
      <c r="W12" s="1178"/>
      <c r="X12" s="643">
        <f t="shared" si="3"/>
        <v>7</v>
      </c>
    </row>
    <row r="13" spans="1:24" x14ac:dyDescent="0.25">
      <c r="A13" s="1289"/>
      <c r="B13" s="1292"/>
      <c r="C13" s="1080">
        <v>45271</v>
      </c>
      <c r="D13" s="657" t="str">
        <f t="shared" si="0"/>
        <v>Po</v>
      </c>
      <c r="E13" s="724">
        <f t="shared" si="1"/>
        <v>0</v>
      </c>
      <c r="F13" s="1079">
        <f t="shared" si="2"/>
        <v>0</v>
      </c>
      <c r="G13" s="724"/>
      <c r="H13" s="724"/>
      <c r="I13" s="724"/>
      <c r="J13" s="654"/>
      <c r="K13" s="657"/>
      <c r="L13" s="654"/>
      <c r="M13" s="657"/>
      <c r="N13" s="654"/>
      <c r="O13" s="657"/>
      <c r="P13" s="714"/>
      <c r="Q13" s="1083">
        <f>(Q11+Q21+Q19-Q23)-Q15-R25</f>
        <v>-11564.834699999996</v>
      </c>
      <c r="R13" s="1088">
        <f>(R11+R19+R21-R23)-R15-R25</f>
        <v>0</v>
      </c>
      <c r="S13" s="1178"/>
      <c r="T13" s="1178"/>
      <c r="U13" s="1178"/>
      <c r="V13" s="1178"/>
      <c r="W13" s="1178"/>
      <c r="X13" s="643">
        <f t="shared" si="3"/>
        <v>1</v>
      </c>
    </row>
    <row r="14" spans="1:24" x14ac:dyDescent="0.25">
      <c r="A14" s="1289"/>
      <c r="B14" s="1292"/>
      <c r="C14" s="1080">
        <v>45272</v>
      </c>
      <c r="D14" s="657" t="str">
        <f t="shared" si="0"/>
        <v>Út</v>
      </c>
      <c r="E14" s="724">
        <f t="shared" si="1"/>
        <v>0</v>
      </c>
      <c r="F14" s="1079">
        <f t="shared" si="2"/>
        <v>0</v>
      </c>
      <c r="G14" s="724"/>
      <c r="H14" s="724"/>
      <c r="I14" s="724"/>
      <c r="J14" s="654"/>
      <c r="K14" s="657"/>
      <c r="L14" s="654"/>
      <c r="M14" s="657"/>
      <c r="N14" s="654"/>
      <c r="O14" s="657"/>
      <c r="P14" s="714"/>
      <c r="Q14" s="654" t="s">
        <v>26</v>
      </c>
      <c r="R14" s="1088" t="s">
        <v>26</v>
      </c>
      <c r="S14" s="1178"/>
      <c r="T14" s="1178"/>
      <c r="U14" s="1178"/>
      <c r="V14" s="1178"/>
      <c r="W14" s="1178"/>
      <c r="X14" s="643">
        <f t="shared" si="3"/>
        <v>2</v>
      </c>
    </row>
    <row r="15" spans="1:24" x14ac:dyDescent="0.25">
      <c r="A15" s="1289"/>
      <c r="B15" s="1292"/>
      <c r="C15" s="1080">
        <v>45273</v>
      </c>
      <c r="D15" s="657" t="str">
        <f t="shared" si="0"/>
        <v>St</v>
      </c>
      <c r="E15" s="724">
        <f t="shared" si="1"/>
        <v>0</v>
      </c>
      <c r="F15" s="1079">
        <f t="shared" si="2"/>
        <v>0</v>
      </c>
      <c r="G15" s="724"/>
      <c r="H15" s="724"/>
      <c r="I15" s="724"/>
      <c r="J15" s="654"/>
      <c r="K15" s="657"/>
      <c r="L15" s="654"/>
      <c r="M15" s="657"/>
      <c r="N15" s="654"/>
      <c r="O15" s="657"/>
      <c r="P15" s="714"/>
      <c r="Q15" s="1083">
        <f>(Q17*25.53)</f>
        <v>11564.834699999996</v>
      </c>
      <c r="R15" s="1088">
        <f>(R17*25.53)</f>
        <v>0</v>
      </c>
      <c r="S15" s="923" t="s">
        <v>458</v>
      </c>
      <c r="T15" s="1004">
        <f>R15+R23-R19</f>
        <v>0</v>
      </c>
      <c r="U15" s="1007"/>
      <c r="V15" s="923" t="s">
        <v>462</v>
      </c>
      <c r="W15" s="1004">
        <f>R15+R23</f>
        <v>0</v>
      </c>
      <c r="X15" s="643">
        <f t="shared" si="3"/>
        <v>3</v>
      </c>
    </row>
    <row r="16" spans="1:24" x14ac:dyDescent="0.25">
      <c r="A16" s="1289"/>
      <c r="B16" s="1292"/>
      <c r="C16" s="1080">
        <v>45274</v>
      </c>
      <c r="D16" s="657" t="str">
        <f t="shared" si="0"/>
        <v>Čt</v>
      </c>
      <c r="E16" s="724">
        <f t="shared" si="1"/>
        <v>0</v>
      </c>
      <c r="F16" s="1079">
        <f t="shared" si="2"/>
        <v>0</v>
      </c>
      <c r="G16" s="724"/>
      <c r="H16" s="724"/>
      <c r="I16" s="724"/>
      <c r="J16" s="654"/>
      <c r="K16" s="657"/>
      <c r="L16" s="654"/>
      <c r="M16" s="657"/>
      <c r="N16" s="654"/>
      <c r="O16" s="657"/>
      <c r="P16" s="714"/>
      <c r="Q16" s="654" t="s">
        <v>29</v>
      </c>
      <c r="R16" s="1026" t="s">
        <v>29</v>
      </c>
      <c r="S16" s="1179" t="s">
        <v>459</v>
      </c>
      <c r="T16" s="1180">
        <f>R11</f>
        <v>0</v>
      </c>
      <c r="U16" s="1008"/>
      <c r="V16" s="1179" t="s">
        <v>463</v>
      </c>
      <c r="W16" s="1180">
        <f>R11+R19+R21+Q29</f>
        <v>0</v>
      </c>
      <c r="X16" s="643">
        <f t="shared" si="3"/>
        <v>4</v>
      </c>
    </row>
    <row r="17" spans="1:24" x14ac:dyDescent="0.25">
      <c r="A17" s="1289"/>
      <c r="B17" s="1292"/>
      <c r="C17" s="1080">
        <v>45275</v>
      </c>
      <c r="D17" s="657" t="str">
        <f t="shared" si="0"/>
        <v>Pá</v>
      </c>
      <c r="E17" s="724">
        <f t="shared" si="1"/>
        <v>0</v>
      </c>
      <c r="F17" s="1079">
        <f t="shared" si="2"/>
        <v>0</v>
      </c>
      <c r="G17" s="724"/>
      <c r="H17" s="724"/>
      <c r="I17" s="724"/>
      <c r="J17" s="654"/>
      <c r="K17" s="657"/>
      <c r="L17" s="654"/>
      <c r="M17" s="657"/>
      <c r="N17" s="654"/>
      <c r="O17" s="657"/>
      <c r="P17" s="714"/>
      <c r="Q17" s="1154">
        <f>'06cash'!O46</f>
        <v>452.98999999999978</v>
      </c>
      <c r="R17" s="1089">
        <v>0</v>
      </c>
      <c r="S17" s="1179"/>
      <c r="T17" s="1181">
        <f>T16-T15</f>
        <v>0</v>
      </c>
      <c r="U17" s="1008"/>
      <c r="V17" s="1179" t="s">
        <v>513</v>
      </c>
      <c r="W17" s="1180">
        <f>W16-W15</f>
        <v>0</v>
      </c>
      <c r="X17" s="643">
        <f t="shared" si="3"/>
        <v>5</v>
      </c>
    </row>
    <row r="18" spans="1:24" x14ac:dyDescent="0.25">
      <c r="A18" s="1289"/>
      <c r="B18" s="1292"/>
      <c r="C18" s="1080">
        <v>45276</v>
      </c>
      <c r="D18" s="657" t="str">
        <f t="shared" si="0"/>
        <v>So</v>
      </c>
      <c r="E18" s="724">
        <f t="shared" si="1"/>
        <v>0</v>
      </c>
      <c r="F18" s="1079">
        <f t="shared" si="2"/>
        <v>0</v>
      </c>
      <c r="G18" s="724"/>
      <c r="H18" s="724"/>
      <c r="I18" s="724"/>
      <c r="J18" s="654"/>
      <c r="K18" s="657"/>
      <c r="L18" s="654"/>
      <c r="M18" s="657"/>
      <c r="N18" s="654"/>
      <c r="O18" s="657"/>
      <c r="P18" s="714"/>
      <c r="Q18" s="654" t="s">
        <v>31</v>
      </c>
      <c r="R18" s="1026" t="s">
        <v>31</v>
      </c>
      <c r="S18" s="1180">
        <f>T17-S6-S8</f>
        <v>0</v>
      </c>
      <c r="T18" s="1179"/>
      <c r="U18" s="1009"/>
      <c r="V18" s="1179" t="s">
        <v>514</v>
      </c>
      <c r="W18" s="1180">
        <f>W17-S6-S8</f>
        <v>0</v>
      </c>
      <c r="X18" s="643">
        <f t="shared" si="3"/>
        <v>6</v>
      </c>
    </row>
    <row r="19" spans="1:24" x14ac:dyDescent="0.25">
      <c r="A19" s="1290"/>
      <c r="B19" s="1291"/>
      <c r="C19" s="1080">
        <v>45277</v>
      </c>
      <c r="D19" s="657" t="str">
        <f t="shared" si="0"/>
        <v>Ne</v>
      </c>
      <c r="E19" s="724">
        <f t="shared" si="1"/>
        <v>0</v>
      </c>
      <c r="F19" s="1079">
        <f t="shared" si="2"/>
        <v>0</v>
      </c>
      <c r="G19" s="724"/>
      <c r="H19" s="724"/>
      <c r="I19" s="724"/>
      <c r="J19" s="654"/>
      <c r="K19" s="657"/>
      <c r="L19" s="654"/>
      <c r="M19" s="657"/>
      <c r="N19" s="654"/>
      <c r="O19" s="657"/>
      <c r="P19" s="714"/>
      <c r="Q19" s="1083"/>
      <c r="R19" s="1088"/>
      <c r="S19" s="1179"/>
      <c r="T19" s="1179"/>
      <c r="U19" s="1008"/>
      <c r="V19" s="1179"/>
      <c r="W19" s="1179"/>
      <c r="X19" s="643">
        <f t="shared" si="3"/>
        <v>7</v>
      </c>
    </row>
    <row r="20" spans="1:24" x14ac:dyDescent="0.25">
      <c r="A20" s="1290"/>
      <c r="B20" s="1291"/>
      <c r="C20" s="1080">
        <v>45278</v>
      </c>
      <c r="D20" s="657" t="str">
        <f t="shared" si="0"/>
        <v>Po</v>
      </c>
      <c r="E20" s="724">
        <f t="shared" si="1"/>
        <v>0</v>
      </c>
      <c r="F20" s="1079">
        <f t="shared" si="2"/>
        <v>0</v>
      </c>
      <c r="G20" s="724"/>
      <c r="H20" s="724"/>
      <c r="I20" s="724"/>
      <c r="J20" s="654"/>
      <c r="K20" s="657"/>
      <c r="L20" s="654"/>
      <c r="M20" s="657"/>
      <c r="N20" s="654"/>
      <c r="O20" s="657"/>
      <c r="P20" s="714"/>
      <c r="Q20" s="1083" t="s">
        <v>33</v>
      </c>
      <c r="R20" s="1088" t="s">
        <v>33</v>
      </c>
      <c r="S20" s="1179"/>
      <c r="T20" s="1179"/>
      <c r="U20" s="1008"/>
      <c r="V20" s="1179"/>
      <c r="W20" s="1179"/>
      <c r="X20" s="643">
        <f t="shared" si="3"/>
        <v>1</v>
      </c>
    </row>
    <row r="21" spans="1:24" x14ac:dyDescent="0.25">
      <c r="A21" s="1290"/>
      <c r="B21" s="1291"/>
      <c r="C21" s="1080">
        <v>45279</v>
      </c>
      <c r="D21" s="657" t="str">
        <f t="shared" si="0"/>
        <v>Út</v>
      </c>
      <c r="E21" s="724">
        <f t="shared" si="1"/>
        <v>0</v>
      </c>
      <c r="F21" s="1079">
        <f t="shared" si="2"/>
        <v>0</v>
      </c>
      <c r="G21" s="724"/>
      <c r="H21" s="724"/>
      <c r="I21" s="724"/>
      <c r="J21" s="654"/>
      <c r="K21" s="657"/>
      <c r="L21" s="654"/>
      <c r="M21" s="657"/>
      <c r="N21" s="654"/>
      <c r="O21" s="657"/>
      <c r="P21" s="714"/>
      <c r="Q21" s="1083">
        <f>W3</f>
        <v>0</v>
      </c>
      <c r="R21" s="1088">
        <v>0</v>
      </c>
      <c r="S21" s="1179"/>
      <c r="T21" s="1179"/>
      <c r="U21" s="1008"/>
      <c r="V21" s="1179"/>
      <c r="W21" s="1179"/>
      <c r="X21" s="643">
        <f t="shared" si="3"/>
        <v>2</v>
      </c>
    </row>
    <row r="22" spans="1:24" x14ac:dyDescent="0.25">
      <c r="A22" s="1290"/>
      <c r="B22" s="1291"/>
      <c r="C22" s="1080">
        <v>45280</v>
      </c>
      <c r="D22" s="657" t="str">
        <f t="shared" si="0"/>
        <v>St</v>
      </c>
      <c r="E22" s="724">
        <f t="shared" si="1"/>
        <v>0</v>
      </c>
      <c r="F22" s="1079">
        <f t="shared" si="2"/>
        <v>0</v>
      </c>
      <c r="G22" s="724"/>
      <c r="H22" s="724"/>
      <c r="I22" s="724"/>
      <c r="J22" s="654"/>
      <c r="K22" s="657"/>
      <c r="L22" s="654"/>
      <c r="M22" s="657"/>
      <c r="N22" s="654"/>
      <c r="O22" s="657"/>
      <c r="P22" s="714"/>
      <c r="Q22" s="1083" t="s">
        <v>34</v>
      </c>
      <c r="R22" s="1088" t="s">
        <v>34</v>
      </c>
      <c r="S22" s="1179"/>
      <c r="T22" s="1179"/>
      <c r="U22" s="1008"/>
      <c r="V22" s="1179"/>
      <c r="W22" s="1179"/>
      <c r="X22" s="643">
        <f t="shared" si="3"/>
        <v>3</v>
      </c>
    </row>
    <row r="23" spans="1:24" x14ac:dyDescent="0.25">
      <c r="A23" s="1290"/>
      <c r="B23" s="1291"/>
      <c r="C23" s="1080">
        <v>45281</v>
      </c>
      <c r="D23" s="657" t="str">
        <f t="shared" si="0"/>
        <v>Čt</v>
      </c>
      <c r="E23" s="724">
        <f t="shared" si="1"/>
        <v>0</v>
      </c>
      <c r="F23" s="1079">
        <f t="shared" si="2"/>
        <v>0</v>
      </c>
      <c r="G23" s="724"/>
      <c r="H23" s="724"/>
      <c r="I23" s="724"/>
      <c r="J23" s="654"/>
      <c r="K23" s="657"/>
      <c r="L23" s="654"/>
      <c r="M23" s="657"/>
      <c r="N23" s="654"/>
      <c r="O23" s="657"/>
      <c r="P23" s="714"/>
      <c r="Q23" s="1083">
        <v>0</v>
      </c>
      <c r="R23" s="1088">
        <v>0</v>
      </c>
      <c r="S23" s="1179"/>
      <c r="T23" s="1017"/>
      <c r="U23" s="1178"/>
      <c r="V23" s="1179"/>
      <c r="W23" s="1179"/>
      <c r="X23" s="643">
        <f t="shared" si="3"/>
        <v>4</v>
      </c>
    </row>
    <row r="24" spans="1:24" x14ac:dyDescent="0.25">
      <c r="A24" s="1290"/>
      <c r="B24" s="1291"/>
      <c r="C24" s="1080">
        <v>45282</v>
      </c>
      <c r="D24" s="657" t="str">
        <f t="shared" si="0"/>
        <v>Pá</v>
      </c>
      <c r="E24" s="724">
        <f t="shared" si="1"/>
        <v>0</v>
      </c>
      <c r="F24" s="1079">
        <f t="shared" si="2"/>
        <v>0</v>
      </c>
      <c r="G24" s="724"/>
      <c r="H24" s="724"/>
      <c r="I24" s="724"/>
      <c r="J24" s="654"/>
      <c r="K24" s="657"/>
      <c r="L24" s="654"/>
      <c r="M24" s="657"/>
      <c r="N24" s="654"/>
      <c r="O24" s="657"/>
      <c r="P24" s="714"/>
      <c r="Q24" s="1085" t="s">
        <v>364</v>
      </c>
      <c r="R24" s="1090" t="s">
        <v>363</v>
      </c>
      <c r="S24" s="1182">
        <f>S18-R25</f>
        <v>0</v>
      </c>
      <c r="T24" s="1018"/>
      <c r="U24" s="1182">
        <f>W18-Q27</f>
        <v>0</v>
      </c>
      <c r="V24" s="1179"/>
      <c r="W24" s="1179"/>
      <c r="X24" s="643">
        <f t="shared" si="3"/>
        <v>5</v>
      </c>
    </row>
    <row r="25" spans="1:24" x14ac:dyDescent="0.25">
      <c r="A25" s="1290"/>
      <c r="B25" s="1291"/>
      <c r="C25" s="1080">
        <v>45283</v>
      </c>
      <c r="D25" s="657" t="str">
        <f t="shared" si="0"/>
        <v>So</v>
      </c>
      <c r="E25" s="724">
        <f t="shared" si="1"/>
        <v>0</v>
      </c>
      <c r="F25" s="1079">
        <f t="shared" si="2"/>
        <v>0</v>
      </c>
      <c r="G25" s="724"/>
      <c r="H25" s="724"/>
      <c r="I25" s="724"/>
      <c r="J25" s="654"/>
      <c r="K25" s="657"/>
      <c r="L25" s="654"/>
      <c r="M25" s="657"/>
      <c r="N25" s="654"/>
      <c r="O25" s="657"/>
      <c r="P25" s="714"/>
      <c r="Q25" s="1086">
        <f>R13-S6</f>
        <v>0</v>
      </c>
      <c r="R25" s="1088">
        <f>Q27-Q29</f>
        <v>0</v>
      </c>
      <c r="S25" s="1020"/>
      <c r="T25" s="1019"/>
      <c r="U25" s="1006"/>
      <c r="V25" s="1006"/>
      <c r="W25" s="1006"/>
      <c r="X25" s="643">
        <f t="shared" si="3"/>
        <v>6</v>
      </c>
    </row>
    <row r="26" spans="1:24" x14ac:dyDescent="0.25">
      <c r="A26" s="1289"/>
      <c r="B26" s="1292"/>
      <c r="C26" s="1080">
        <v>45284</v>
      </c>
      <c r="D26" s="657" t="str">
        <f t="shared" si="0"/>
        <v>Ne</v>
      </c>
      <c r="E26" s="724">
        <f t="shared" si="1"/>
        <v>0</v>
      </c>
      <c r="F26" s="1079">
        <f t="shared" si="2"/>
        <v>0</v>
      </c>
      <c r="G26" s="724"/>
      <c r="H26" s="724"/>
      <c r="I26" s="724"/>
      <c r="J26" s="654"/>
      <c r="K26" s="657"/>
      <c r="L26" s="654"/>
      <c r="M26" s="657"/>
      <c r="N26" s="654"/>
      <c r="O26" s="657"/>
      <c r="P26" s="714"/>
      <c r="Q26" s="654" t="s">
        <v>372</v>
      </c>
      <c r="R26" s="1026"/>
      <c r="S26" s="1178"/>
      <c r="T26" s="1178"/>
      <c r="U26" s="1178"/>
      <c r="V26" s="1178"/>
      <c r="W26" s="1178"/>
      <c r="X26" s="643">
        <f t="shared" si="3"/>
        <v>7</v>
      </c>
    </row>
    <row r="27" spans="1:24" x14ac:dyDescent="0.25">
      <c r="A27" s="1289"/>
      <c r="B27" s="1292"/>
      <c r="C27" s="1080">
        <v>45285</v>
      </c>
      <c r="D27" s="657" t="str">
        <f t="shared" si="0"/>
        <v>Po</v>
      </c>
      <c r="E27" s="724">
        <f t="shared" si="1"/>
        <v>0</v>
      </c>
      <c r="F27" s="1079">
        <f t="shared" si="2"/>
        <v>0</v>
      </c>
      <c r="G27" s="724"/>
      <c r="H27" s="724"/>
      <c r="I27" s="724"/>
      <c r="J27" s="654"/>
      <c r="K27" s="657"/>
      <c r="L27" s="654"/>
      <c r="M27" s="657"/>
      <c r="N27" s="654"/>
      <c r="O27" s="657"/>
      <c r="P27" s="714"/>
      <c r="Q27" s="1083">
        <v>0</v>
      </c>
      <c r="R27" s="1088"/>
      <c r="S27" s="1178"/>
      <c r="T27" s="1178"/>
      <c r="U27" s="1178"/>
      <c r="V27" s="1178"/>
      <c r="W27" s="1178"/>
      <c r="X27" s="643">
        <f t="shared" si="3"/>
        <v>1</v>
      </c>
    </row>
    <row r="28" spans="1:24" x14ac:dyDescent="0.25">
      <c r="A28" s="1289"/>
      <c r="B28" s="1292"/>
      <c r="C28" s="1080">
        <v>45286</v>
      </c>
      <c r="D28" s="657" t="str">
        <f t="shared" si="0"/>
        <v>Út</v>
      </c>
      <c r="E28" s="724">
        <f t="shared" si="1"/>
        <v>0</v>
      </c>
      <c r="F28" s="1079">
        <f t="shared" si="2"/>
        <v>0</v>
      </c>
      <c r="G28" s="724"/>
      <c r="H28" s="724"/>
      <c r="I28" s="724"/>
      <c r="J28" s="654"/>
      <c r="K28" s="657"/>
      <c r="L28" s="654"/>
      <c r="M28" s="657"/>
      <c r="N28" s="654"/>
      <c r="O28" s="657"/>
      <c r="P28" s="714"/>
      <c r="Q28" s="654" t="s">
        <v>373</v>
      </c>
      <c r="R28" s="1026"/>
      <c r="S28" s="1178"/>
      <c r="T28" s="1178"/>
      <c r="U28" s="1178"/>
      <c r="V28" s="1178"/>
      <c r="W28" s="1178"/>
      <c r="X28" s="643">
        <f t="shared" si="3"/>
        <v>2</v>
      </c>
    </row>
    <row r="29" spans="1:24" x14ac:dyDescent="0.25">
      <c r="A29" s="1289"/>
      <c r="B29" s="1292"/>
      <c r="C29" s="1080">
        <v>45287</v>
      </c>
      <c r="D29" s="657" t="str">
        <f t="shared" si="0"/>
        <v>St</v>
      </c>
      <c r="E29" s="724">
        <f t="shared" si="1"/>
        <v>0</v>
      </c>
      <c r="F29" s="1079">
        <f t="shared" si="2"/>
        <v>0</v>
      </c>
      <c r="G29" s="724"/>
      <c r="H29" s="724"/>
      <c r="I29" s="724"/>
      <c r="J29" s="654"/>
      <c r="K29" s="657"/>
      <c r="L29" s="654"/>
      <c r="M29" s="657"/>
      <c r="N29" s="654"/>
      <c r="O29" s="657"/>
      <c r="P29" s="714"/>
      <c r="Q29" s="1083">
        <f>'11hod23'!Q27</f>
        <v>0</v>
      </c>
      <c r="R29" s="1026"/>
      <c r="S29" s="1178"/>
      <c r="T29" s="1178"/>
      <c r="U29" s="1178"/>
      <c r="V29" s="1178"/>
      <c r="W29" s="1178"/>
      <c r="X29" s="643">
        <f t="shared" si="3"/>
        <v>3</v>
      </c>
    </row>
    <row r="30" spans="1:24" x14ac:dyDescent="0.25">
      <c r="A30" s="1289"/>
      <c r="B30" s="1292"/>
      <c r="C30" s="1080">
        <v>45288</v>
      </c>
      <c r="D30" s="657" t="str">
        <f t="shared" si="0"/>
        <v>Čt</v>
      </c>
      <c r="E30" s="724">
        <f t="shared" si="1"/>
        <v>0</v>
      </c>
      <c r="F30" s="1079">
        <f t="shared" si="2"/>
        <v>0</v>
      </c>
      <c r="G30" s="724"/>
      <c r="H30" s="724"/>
      <c r="I30" s="724"/>
      <c r="J30" s="654"/>
      <c r="K30" s="657"/>
      <c r="L30" s="654"/>
      <c r="M30" s="657"/>
      <c r="N30" s="654"/>
      <c r="O30" s="657"/>
      <c r="P30" s="714"/>
      <c r="Q30" s="1083"/>
      <c r="R30" s="1083"/>
      <c r="S30" s="1178"/>
      <c r="T30" s="1178"/>
      <c r="U30" s="1178"/>
      <c r="V30" s="1178"/>
      <c r="W30" s="1178"/>
      <c r="X30" s="643">
        <f t="shared" si="3"/>
        <v>4</v>
      </c>
    </row>
    <row r="31" spans="1:24" x14ac:dyDescent="0.25">
      <c r="A31" s="1289"/>
      <c r="B31" s="1292"/>
      <c r="C31" s="1080">
        <v>45289</v>
      </c>
      <c r="D31" s="657" t="str">
        <f t="shared" si="0"/>
        <v>Pá</v>
      </c>
      <c r="E31" s="724">
        <f t="shared" si="1"/>
        <v>0</v>
      </c>
      <c r="F31" s="1079">
        <f t="shared" si="2"/>
        <v>0</v>
      </c>
      <c r="G31" s="724"/>
      <c r="H31" s="724"/>
      <c r="I31" s="724"/>
      <c r="J31" s="654"/>
      <c r="K31" s="657"/>
      <c r="L31" s="654"/>
      <c r="M31" s="657"/>
      <c r="N31" s="654"/>
      <c r="O31" s="657"/>
      <c r="P31" s="714"/>
      <c r="Q31" s="918"/>
      <c r="R31" s="1091"/>
      <c r="S31" s="1178"/>
      <c r="T31" s="1178"/>
      <c r="U31" s="1178"/>
      <c r="V31" s="1178"/>
      <c r="W31" s="1178"/>
      <c r="X31" s="643">
        <f t="shared" si="3"/>
        <v>5</v>
      </c>
    </row>
    <row r="32" spans="1:24" x14ac:dyDescent="0.25">
      <c r="A32" s="1289"/>
      <c r="B32" s="1292"/>
      <c r="C32" s="1080">
        <v>45290</v>
      </c>
      <c r="D32" s="657" t="str">
        <f t="shared" si="0"/>
        <v>So</v>
      </c>
      <c r="E32" s="724">
        <f t="shared" si="1"/>
        <v>0</v>
      </c>
      <c r="F32" s="1079">
        <f t="shared" si="2"/>
        <v>0</v>
      </c>
      <c r="G32" s="724"/>
      <c r="H32" s="724"/>
      <c r="I32" s="724"/>
      <c r="J32" s="654"/>
      <c r="K32" s="657"/>
      <c r="L32" s="654"/>
      <c r="M32" s="657"/>
      <c r="N32" s="654"/>
      <c r="O32" s="657"/>
      <c r="P32" s="714"/>
      <c r="Q32" s="654"/>
      <c r="R32" s="1026"/>
      <c r="S32" s="1178"/>
      <c r="T32" s="1178"/>
      <c r="U32" s="1178"/>
      <c r="V32" s="1178"/>
      <c r="W32" s="1178"/>
      <c r="X32" s="643">
        <f t="shared" si="3"/>
        <v>6</v>
      </c>
    </row>
    <row r="33" spans="1:24" x14ac:dyDescent="0.25">
      <c r="A33" s="1289"/>
      <c r="B33" s="1292"/>
      <c r="C33" s="1080">
        <v>45291</v>
      </c>
      <c r="D33" s="657" t="str">
        <f t="shared" si="0"/>
        <v>Ne</v>
      </c>
      <c r="E33" s="724">
        <f t="shared" si="1"/>
        <v>0</v>
      </c>
      <c r="F33" s="1079">
        <f t="shared" si="2"/>
        <v>0</v>
      </c>
      <c r="G33" s="724"/>
      <c r="H33" s="724"/>
      <c r="I33" s="724"/>
      <c r="J33" s="654"/>
      <c r="K33" s="657"/>
      <c r="L33" s="654"/>
      <c r="M33" s="657"/>
      <c r="N33" s="654"/>
      <c r="O33" s="657"/>
      <c r="P33" s="714"/>
      <c r="Q33" s="654"/>
      <c r="R33" s="1026"/>
      <c r="S33" s="1178"/>
      <c r="T33" s="1178"/>
      <c r="U33" s="1178"/>
      <c r="V33" s="1178"/>
      <c r="W33" s="1178"/>
      <c r="X33" s="643">
        <f t="shared" si="3"/>
        <v>7</v>
      </c>
    </row>
    <row r="34" spans="1:24" x14ac:dyDescent="0.25">
      <c r="A34" s="1290"/>
      <c r="B34" s="1291"/>
      <c r="C34" s="1080">
        <v>45292</v>
      </c>
      <c r="D34" s="657" t="str">
        <f t="shared" si="0"/>
        <v>Po</v>
      </c>
      <c r="E34" s="724">
        <f t="shared" si="1"/>
        <v>0</v>
      </c>
      <c r="F34" s="1079">
        <f t="shared" si="2"/>
        <v>0</v>
      </c>
      <c r="G34" s="724"/>
      <c r="H34" s="724"/>
      <c r="I34" s="724"/>
      <c r="J34" s="654"/>
      <c r="K34" s="657"/>
      <c r="L34" s="654"/>
      <c r="M34" s="657"/>
      <c r="N34" s="654"/>
      <c r="O34" s="657"/>
      <c r="P34" s="714"/>
      <c r="Q34" s="654"/>
      <c r="R34" s="1026"/>
      <c r="S34" s="1178"/>
      <c r="T34" s="1178"/>
      <c r="U34" s="1178"/>
      <c r="V34" s="1178"/>
      <c r="W34" s="1178"/>
      <c r="X34" s="643">
        <f t="shared" si="3"/>
        <v>1</v>
      </c>
    </row>
    <row r="35" spans="1:24" x14ac:dyDescent="0.25">
      <c r="A35" s="1290"/>
      <c r="B35" s="1291"/>
      <c r="C35" s="1080">
        <v>45293</v>
      </c>
      <c r="D35" s="657" t="str">
        <f t="shared" si="0"/>
        <v>Út</v>
      </c>
      <c r="E35" s="724">
        <f t="shared" si="1"/>
        <v>0</v>
      </c>
      <c r="F35" s="1079">
        <f t="shared" si="2"/>
        <v>0</v>
      </c>
      <c r="G35" s="724"/>
      <c r="H35" s="724"/>
      <c r="I35" s="724"/>
      <c r="J35" s="654"/>
      <c r="K35" s="657"/>
      <c r="L35" s="654"/>
      <c r="M35" s="657"/>
      <c r="N35" s="654"/>
      <c r="O35" s="657"/>
      <c r="P35" s="714"/>
      <c r="Q35" s="654"/>
      <c r="R35" s="1026"/>
      <c r="S35" s="1178"/>
      <c r="T35" s="1178"/>
      <c r="U35" s="1178"/>
      <c r="V35" s="1178"/>
      <c r="W35" s="1178"/>
      <c r="X35" s="643">
        <f t="shared" si="3"/>
        <v>2</v>
      </c>
    </row>
    <row r="36" spans="1:24" ht="15.75" thickBot="1" x14ac:dyDescent="0.3">
      <c r="A36" s="1290"/>
      <c r="B36" s="1291"/>
      <c r="C36" s="1080">
        <v>45294</v>
      </c>
      <c r="D36" s="658" t="str">
        <f t="shared" si="0"/>
        <v>St</v>
      </c>
      <c r="E36" s="724">
        <f t="shared" si="1"/>
        <v>0</v>
      </c>
      <c r="F36" s="1079">
        <f t="shared" si="2"/>
        <v>0</v>
      </c>
      <c r="G36" s="724"/>
      <c r="H36" s="724"/>
      <c r="I36" s="724"/>
      <c r="J36" s="654"/>
      <c r="K36" s="657"/>
      <c r="L36" s="654"/>
      <c r="M36" s="658"/>
      <c r="N36" s="654"/>
      <c r="O36" s="658"/>
      <c r="P36" s="1087"/>
      <c r="Q36" s="655"/>
      <c r="R36" s="1027"/>
      <c r="S36" s="1178"/>
      <c r="T36" s="1178"/>
      <c r="U36" s="1178"/>
      <c r="V36" s="1178"/>
      <c r="W36" s="1178"/>
      <c r="X36" s="643">
        <f t="shared" si="3"/>
        <v>3</v>
      </c>
    </row>
    <row r="39" spans="1:24" x14ac:dyDescent="0.25">
      <c r="G39" s="731"/>
      <c r="H39" s="731"/>
      <c r="Q39" s="731"/>
    </row>
    <row r="40" spans="1:24" x14ac:dyDescent="0.25">
      <c r="E40" s="733"/>
      <c r="G40" s="732"/>
      <c r="H40" s="732"/>
    </row>
    <row r="41" spans="1:24" x14ac:dyDescent="0.25">
      <c r="H41" s="731">
        <f>TIME(0,30,0)</f>
        <v>2.0833333333333332E-2</v>
      </c>
      <c r="Q41" s="732">
        <f>SUM(E3:E11)</f>
        <v>0</v>
      </c>
      <c r="R41" t="s">
        <v>315</v>
      </c>
    </row>
    <row r="42" spans="1:24" x14ac:dyDescent="0.25">
      <c r="H42" s="731">
        <f>TIME(1,0,0)</f>
        <v>4.1666666666666664E-2</v>
      </c>
      <c r="Q42" s="732">
        <f>SUM(E12:E33)</f>
        <v>0</v>
      </c>
      <c r="R42" t="s">
        <v>316</v>
      </c>
    </row>
    <row r="46" spans="1:24" x14ac:dyDescent="0.25">
      <c r="E46" s="731"/>
    </row>
  </sheetData>
  <mergeCells count="12">
    <mergeCell ref="A3:A4"/>
    <mergeCell ref="B3:B4"/>
    <mergeCell ref="A5:A11"/>
    <mergeCell ref="B5:B11"/>
    <mergeCell ref="A12:A18"/>
    <mergeCell ref="B12:B18"/>
    <mergeCell ref="A19:A25"/>
    <mergeCell ref="B19:B25"/>
    <mergeCell ref="A26:A33"/>
    <mergeCell ref="B26:B33"/>
    <mergeCell ref="A34:A36"/>
    <mergeCell ref="B34:B36"/>
  </mergeCells>
  <pageMargins left="0.7" right="0.7" top="0.75" bottom="0.75" header="0.3" footer="0.3"/>
  <tableParts count="1">
    <tablePart r:id="rId1"/>
  </tableParts>
</worksheet>
</file>

<file path=xl/worksheets/sheet6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DFEE3E-64D7-B747-B33D-0399272DBACC}">
  <dimension ref="A1:AP61"/>
  <sheetViews>
    <sheetView topLeftCell="AC2" zoomScaleNormal="60" zoomScaleSheetLayoutView="100" workbookViewId="0">
      <selection activeCell="P24" sqref="P24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7109375" bestFit="1" customWidth="1"/>
    <col min="4" max="4" width="10.5703125" bestFit="1" customWidth="1"/>
    <col min="5" max="5" width="9" bestFit="1" customWidth="1"/>
    <col min="6" max="6" width="10.5703125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11.28515625" customWidth="1"/>
    <col min="17" max="17" width="15.285156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4" customWidth="1"/>
    <col min="37" max="37" width="13.140625" customWidth="1"/>
    <col min="38" max="38" width="14.28515625" customWidth="1"/>
    <col min="41" max="41" width="11.42578125" bestFit="1" customWidth="1"/>
    <col min="42" max="42" width="12.7109375" bestFit="1" customWidth="1"/>
  </cols>
  <sheetData>
    <row r="1" spans="1:42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705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  <c r="AO1" s="1211"/>
      <c r="AP1" s="879"/>
    </row>
    <row r="2" spans="1:42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583</v>
      </c>
      <c r="R2" s="966" t="s">
        <v>441</v>
      </c>
      <c r="S2" s="967" t="s">
        <v>700</v>
      </c>
      <c r="T2" s="966" t="s">
        <v>442</v>
      </c>
      <c r="U2" s="964" t="s">
        <v>712</v>
      </c>
      <c r="V2" s="966" t="s">
        <v>443</v>
      </c>
      <c r="W2" s="964" t="s">
        <v>711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  <c r="AO2" s="1211"/>
      <c r="AP2" s="879"/>
    </row>
    <row r="3" spans="1:42" ht="16.5" thickTop="1" thickBot="1" x14ac:dyDescent="0.3">
      <c r="A3" s="695">
        <v>3710.7</v>
      </c>
      <c r="B3" s="979">
        <v>45235</v>
      </c>
      <c r="C3" s="945"/>
      <c r="D3" s="619"/>
      <c r="E3" s="979">
        <v>45195</v>
      </c>
      <c r="F3" s="952">
        <v>100</v>
      </c>
      <c r="G3" s="975"/>
      <c r="H3" s="952">
        <v>15.4</v>
      </c>
      <c r="I3" s="619"/>
      <c r="J3" s="978"/>
      <c r="K3" s="952"/>
      <c r="L3" s="959"/>
      <c r="M3" s="981" t="s">
        <v>714</v>
      </c>
      <c r="N3" s="952">
        <v>10.99</v>
      </c>
      <c r="O3" s="984">
        <f>AG44-AK6-AI3</f>
        <v>852.98999999999978</v>
      </c>
      <c r="P3" s="945">
        <f>AE44-AJ6</f>
        <v>5000</v>
      </c>
      <c r="Q3" s="984">
        <v>100</v>
      </c>
      <c r="R3" s="937">
        <v>45235</v>
      </c>
      <c r="S3" s="984">
        <v>100</v>
      </c>
      <c r="T3" s="937">
        <v>45235</v>
      </c>
      <c r="U3" s="984">
        <v>700</v>
      </c>
      <c r="V3" s="937"/>
      <c r="W3" s="989">
        <v>100</v>
      </c>
      <c r="X3" s="937"/>
      <c r="Y3" s="989"/>
      <c r="Z3" s="937"/>
      <c r="AA3" s="984"/>
      <c r="AB3" s="937"/>
      <c r="AC3" s="990"/>
      <c r="AD3" s="937"/>
      <c r="AE3" s="993">
        <v>6000</v>
      </c>
      <c r="AF3" s="997" t="s">
        <v>119</v>
      </c>
      <c r="AG3" s="963">
        <f>'05cash'!AI3</f>
        <v>250</v>
      </c>
      <c r="AH3" s="299">
        <v>0</v>
      </c>
      <c r="AI3" s="300"/>
      <c r="AJ3" s="301">
        <f>AH6+AJ6</f>
        <v>4710.7</v>
      </c>
      <c r="AK3" s="302">
        <f>AK6+AI6</f>
        <v>3941.9100000000003</v>
      </c>
      <c r="AO3" s="1211"/>
      <c r="AP3" s="879"/>
    </row>
    <row r="4" spans="1:42" ht="19.5" thickBot="1" x14ac:dyDescent="0.3">
      <c r="A4" s="856"/>
      <c r="B4" s="979"/>
      <c r="C4" s="946"/>
      <c r="D4" s="618"/>
      <c r="E4" s="979">
        <v>45206</v>
      </c>
      <c r="F4" s="953">
        <v>137.01</v>
      </c>
      <c r="G4" s="976"/>
      <c r="H4" s="953">
        <v>15.4</v>
      </c>
      <c r="I4" s="618"/>
      <c r="J4" s="979"/>
      <c r="K4" s="953"/>
      <c r="L4" s="960"/>
      <c r="M4" s="982" t="s">
        <v>715</v>
      </c>
      <c r="N4" s="953">
        <v>35.99</v>
      </c>
      <c r="O4" s="976"/>
      <c r="P4" s="946"/>
      <c r="Q4" s="986">
        <v>160</v>
      </c>
      <c r="R4" s="938" t="s">
        <v>706</v>
      </c>
      <c r="S4" s="986">
        <v>100</v>
      </c>
      <c r="T4" s="938" t="s">
        <v>316</v>
      </c>
      <c r="U4" s="986">
        <v>600</v>
      </c>
      <c r="V4" s="938"/>
      <c r="W4" s="990"/>
      <c r="X4" s="938"/>
      <c r="Y4" s="990"/>
      <c r="Z4" s="938"/>
      <c r="AA4" s="986"/>
      <c r="AB4" s="938"/>
      <c r="AC4" s="1051"/>
      <c r="AD4" s="938"/>
      <c r="AE4" s="994"/>
      <c r="AF4" s="997">
        <v>45236</v>
      </c>
      <c r="AG4" s="963">
        <v>300</v>
      </c>
      <c r="AH4" s="1282" t="s">
        <v>63</v>
      </c>
      <c r="AI4" s="1245"/>
      <c r="AJ4" s="1246" t="s">
        <v>64</v>
      </c>
      <c r="AK4" s="1237"/>
      <c r="AO4" s="1211"/>
      <c r="AP4" s="879"/>
    </row>
    <row r="5" spans="1:42" ht="15.75" x14ac:dyDescent="0.25">
      <c r="A5" s="856"/>
      <c r="B5" s="979"/>
      <c r="C5" s="946"/>
      <c r="D5" s="618">
        <v>173.01</v>
      </c>
      <c r="E5" s="979">
        <v>45236</v>
      </c>
      <c r="F5" s="953"/>
      <c r="G5" s="976"/>
      <c r="H5" s="953">
        <v>9.8000000000000007</v>
      </c>
      <c r="I5" s="618"/>
      <c r="J5" s="979"/>
      <c r="K5" s="953"/>
      <c r="L5" s="960"/>
      <c r="M5" s="982" t="s">
        <v>716</v>
      </c>
      <c r="N5" s="953">
        <v>14</v>
      </c>
      <c r="O5" s="976"/>
      <c r="P5" s="946"/>
      <c r="Q5" s="1070">
        <v>20</v>
      </c>
      <c r="R5" s="1068" t="s">
        <v>707</v>
      </c>
      <c r="S5" s="986"/>
      <c r="T5" s="938"/>
      <c r="U5" s="986"/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>
        <v>45241</v>
      </c>
      <c r="AG5" s="963">
        <v>100</v>
      </c>
      <c r="AH5" s="119" t="s">
        <v>50</v>
      </c>
      <c r="AI5" s="313" t="s">
        <v>52</v>
      </c>
      <c r="AJ5" s="121" t="s">
        <v>50</v>
      </c>
      <c r="AK5" s="122" t="s">
        <v>52</v>
      </c>
      <c r="AO5" s="1211"/>
      <c r="AP5" s="879"/>
    </row>
    <row r="6" spans="1:42" ht="15.75" thickBot="1" x14ac:dyDescent="0.3">
      <c r="A6" s="856"/>
      <c r="B6" s="979"/>
      <c r="C6" s="946"/>
      <c r="D6" s="618">
        <v>150</v>
      </c>
      <c r="E6" s="979">
        <v>45239</v>
      </c>
      <c r="F6" s="953"/>
      <c r="G6" s="976"/>
      <c r="H6" s="953">
        <v>15.4</v>
      </c>
      <c r="I6" s="618"/>
      <c r="J6" s="979"/>
      <c r="K6" s="953"/>
      <c r="L6" s="960"/>
      <c r="M6" s="982" t="s">
        <v>717</v>
      </c>
      <c r="N6" s="953">
        <v>18.13</v>
      </c>
      <c r="O6" s="976"/>
      <c r="P6" s="946"/>
      <c r="Q6" s="1070">
        <v>35</v>
      </c>
      <c r="R6" s="1068" t="s">
        <v>706</v>
      </c>
      <c r="S6" s="986"/>
      <c r="T6" s="938"/>
      <c r="U6" s="986"/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>
        <v>45247</v>
      </c>
      <c r="AG6" s="963">
        <v>400</v>
      </c>
      <c r="AH6" s="612">
        <f>A44+L44</f>
        <v>3710.7</v>
      </c>
      <c r="AI6" s="317">
        <f>D44+H44+K44+N45</f>
        <v>1444.9</v>
      </c>
      <c r="AJ6" s="128">
        <f>L45+C44+U48+Q47</f>
        <v>1000</v>
      </c>
      <c r="AK6" s="129">
        <f>F44+G44+I44+M45+Q44+S44+W44+Y44+AA44+AC44+Y47+Y50+AA47+AA50+AC47+AC50+U44</f>
        <v>2497.0100000000002</v>
      </c>
      <c r="AO6" s="1211"/>
      <c r="AP6" s="879"/>
    </row>
    <row r="7" spans="1:42" ht="19.5" thickBot="1" x14ac:dyDescent="0.3">
      <c r="A7" s="856"/>
      <c r="B7" s="979"/>
      <c r="C7" s="946"/>
      <c r="D7" s="618" t="s">
        <v>713</v>
      </c>
      <c r="E7" s="979">
        <v>45242</v>
      </c>
      <c r="F7" s="953"/>
      <c r="G7" s="976"/>
      <c r="H7" s="953">
        <v>31.7</v>
      </c>
      <c r="I7" s="618"/>
      <c r="J7" s="979"/>
      <c r="K7" s="953"/>
      <c r="L7" s="960"/>
      <c r="M7" s="982" t="s">
        <v>718</v>
      </c>
      <c r="N7" s="953">
        <v>10.77</v>
      </c>
      <c r="O7" s="976"/>
      <c r="P7" s="946"/>
      <c r="Q7" s="1070">
        <v>50</v>
      </c>
      <c r="R7" s="1068" t="s">
        <v>694</v>
      </c>
      <c r="S7" s="986"/>
      <c r="T7" s="938"/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>
        <v>45254</v>
      </c>
      <c r="AG7" s="963">
        <v>300</v>
      </c>
      <c r="AH7" s="613" t="s">
        <v>66</v>
      </c>
      <c r="AI7" s="321" t="s">
        <v>67</v>
      </c>
      <c r="AO7" s="1211"/>
      <c r="AP7" s="879"/>
    </row>
    <row r="8" spans="1:42" x14ac:dyDescent="0.25">
      <c r="A8" s="856"/>
      <c r="B8" s="979"/>
      <c r="C8" s="946"/>
      <c r="D8" s="618">
        <v>123.32</v>
      </c>
      <c r="E8" s="979">
        <v>45247</v>
      </c>
      <c r="F8" s="953"/>
      <c r="G8" s="976"/>
      <c r="H8" s="953">
        <v>25.8</v>
      </c>
      <c r="I8" s="618"/>
      <c r="J8" s="979"/>
      <c r="K8" s="953"/>
      <c r="L8" s="960"/>
      <c r="M8" s="982"/>
      <c r="N8" s="953"/>
      <c r="O8" s="976"/>
      <c r="P8" s="946"/>
      <c r="Q8" s="1070">
        <v>50</v>
      </c>
      <c r="R8" s="1068">
        <v>45253</v>
      </c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/>
      <c r="AG8" s="963">
        <v>200</v>
      </c>
      <c r="AH8" s="326">
        <v>0</v>
      </c>
      <c r="AI8" s="327">
        <f>E44</f>
        <v>0</v>
      </c>
      <c r="AO8" s="1211"/>
      <c r="AP8" s="879"/>
    </row>
    <row r="9" spans="1:42" ht="15.75" thickBot="1" x14ac:dyDescent="0.3">
      <c r="A9" s="856"/>
      <c r="B9" s="979"/>
      <c r="C9" s="946"/>
      <c r="D9" s="618">
        <v>123.08</v>
      </c>
      <c r="E9" s="979">
        <v>45255</v>
      </c>
      <c r="F9" s="953"/>
      <c r="G9" s="976"/>
      <c r="H9" s="953">
        <v>31.7</v>
      </c>
      <c r="I9" s="618"/>
      <c r="J9" s="979"/>
      <c r="K9" s="953"/>
      <c r="L9" s="960"/>
      <c r="M9" s="982"/>
      <c r="N9" s="953"/>
      <c r="O9" s="976"/>
      <c r="P9" s="946"/>
      <c r="Q9" s="986">
        <v>10</v>
      </c>
      <c r="R9" s="938">
        <v>45254</v>
      </c>
      <c r="S9" s="976"/>
      <c r="T9" s="938"/>
      <c r="U9" s="1070"/>
      <c r="V9" s="1068"/>
      <c r="W9" s="990"/>
      <c r="X9" s="938"/>
      <c r="Y9" s="990"/>
      <c r="Z9" s="938"/>
      <c r="AA9" s="986"/>
      <c r="AB9" s="938"/>
      <c r="AC9" s="990"/>
      <c r="AD9" s="938"/>
      <c r="AE9" s="1143"/>
      <c r="AF9" s="997">
        <v>45265</v>
      </c>
      <c r="AG9" s="963">
        <v>200</v>
      </c>
      <c r="AH9" s="1244">
        <f>AH8-AI8</f>
        <v>0</v>
      </c>
      <c r="AI9" s="1222"/>
      <c r="AO9" s="1210"/>
      <c r="AP9" s="879"/>
    </row>
    <row r="10" spans="1:42" x14ac:dyDescent="0.25">
      <c r="A10" s="1155"/>
      <c r="B10" s="979"/>
      <c r="C10" s="1060"/>
      <c r="D10" s="663">
        <v>120</v>
      </c>
      <c r="E10" s="979">
        <v>45261</v>
      </c>
      <c r="F10" s="1061"/>
      <c r="G10" s="1062"/>
      <c r="H10" s="1063">
        <v>4.7</v>
      </c>
      <c r="I10" s="1064"/>
      <c r="J10" s="979"/>
      <c r="K10" s="1065"/>
      <c r="L10" s="1066"/>
      <c r="M10" s="982"/>
      <c r="N10" s="1061"/>
      <c r="O10" s="1067"/>
      <c r="P10" s="1060"/>
      <c r="Q10" s="1070">
        <v>150</v>
      </c>
      <c r="R10" s="1068" t="s">
        <v>677</v>
      </c>
      <c r="S10" s="1069"/>
      <c r="T10" s="1068"/>
      <c r="U10" s="1070"/>
      <c r="V10" s="1068"/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/>
      <c r="AG10" s="963">
        <v>800</v>
      </c>
      <c r="AH10" s="610"/>
      <c r="AI10" s="1052"/>
    </row>
    <row r="11" spans="1:42" x14ac:dyDescent="0.25">
      <c r="A11" s="1155"/>
      <c r="B11" s="979"/>
      <c r="C11" s="1060"/>
      <c r="D11" s="663">
        <v>120</v>
      </c>
      <c r="E11" s="979">
        <v>45265</v>
      </c>
      <c r="F11" s="1061"/>
      <c r="G11" s="1062"/>
      <c r="H11" s="1063">
        <v>9.8000000000000007</v>
      </c>
      <c r="I11" s="1064"/>
      <c r="J11" s="979"/>
      <c r="K11" s="1065"/>
      <c r="L11" s="1066"/>
      <c r="M11" s="982"/>
      <c r="N11" s="1061"/>
      <c r="O11" s="1067"/>
      <c r="P11" s="1060"/>
      <c r="Q11" s="1070">
        <v>30</v>
      </c>
      <c r="R11" s="1068"/>
      <c r="S11" s="1069"/>
      <c r="T11" s="1068"/>
      <c r="U11" s="1070"/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/>
      <c r="AG11" s="1201">
        <v>700</v>
      </c>
      <c r="AH11" s="610"/>
      <c r="AI11" s="1052"/>
    </row>
    <row r="12" spans="1:42" x14ac:dyDescent="0.25">
      <c r="A12" s="1155"/>
      <c r="B12" s="979"/>
      <c r="C12" s="1060"/>
      <c r="D12" s="663">
        <v>122.76</v>
      </c>
      <c r="E12" s="979">
        <v>45275</v>
      </c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>
        <v>50</v>
      </c>
      <c r="R12" s="1068"/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073"/>
      <c r="AG12" s="1216">
        <v>100</v>
      </c>
      <c r="AH12" s="1171"/>
      <c r="AI12" s="1203"/>
      <c r="AJ12" s="1206"/>
      <c r="AK12" s="1204"/>
      <c r="AL12" s="1207"/>
    </row>
    <row r="13" spans="1:42" x14ac:dyDescent="0.25">
      <c r="A13" s="1155"/>
      <c r="B13" s="979"/>
      <c r="C13" s="1060"/>
      <c r="D13" s="663">
        <v>123.14</v>
      </c>
      <c r="E13" s="979">
        <v>45279</v>
      </c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>
        <v>5</v>
      </c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1201"/>
      <c r="AH13" s="1171"/>
      <c r="AI13" s="1203"/>
      <c r="AJ13" s="1206"/>
      <c r="AK13" s="1204"/>
      <c r="AL13" s="1207"/>
    </row>
    <row r="14" spans="1:42" x14ac:dyDescent="0.25">
      <c r="A14" s="856"/>
      <c r="B14" s="979"/>
      <c r="C14" s="946"/>
      <c r="D14" s="663">
        <v>140.01</v>
      </c>
      <c r="E14" s="979">
        <v>45281</v>
      </c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1070"/>
      <c r="V14" s="1068"/>
      <c r="W14" s="990"/>
      <c r="X14" s="938"/>
      <c r="Y14" s="990"/>
      <c r="Z14" s="938"/>
      <c r="AA14" s="976"/>
      <c r="AB14" s="938"/>
      <c r="AC14" s="991"/>
      <c r="AD14" s="938"/>
      <c r="AE14" s="994"/>
      <c r="AF14" s="1073"/>
      <c r="AG14" s="1073"/>
      <c r="AH14" s="1171"/>
      <c r="AI14" s="1203"/>
      <c r="AJ14" s="1206"/>
      <c r="AK14" s="1204"/>
      <c r="AL14" s="1207"/>
    </row>
    <row r="15" spans="1:42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1070"/>
      <c r="V15" s="106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1201"/>
      <c r="AH15" s="1171"/>
      <c r="AI15" s="1204"/>
      <c r="AJ15" s="1206"/>
      <c r="AK15" s="1204"/>
      <c r="AL15" s="1207"/>
    </row>
    <row r="16" spans="1:42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1070"/>
      <c r="V16" s="106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1201"/>
      <c r="AH16" s="1171"/>
      <c r="AI16" s="1204"/>
      <c r="AJ16" s="1206"/>
      <c r="AK16" s="1204"/>
      <c r="AL16" s="1207"/>
    </row>
    <row r="17" spans="1:38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1201"/>
      <c r="AH17" s="1171"/>
      <c r="AI17" s="1204"/>
      <c r="AJ17" s="1206"/>
      <c r="AK17" s="1204"/>
      <c r="AL17" s="1207"/>
    </row>
    <row r="18" spans="1:38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1201"/>
      <c r="AH18" s="1171"/>
      <c r="AI18" s="1204"/>
      <c r="AJ18" s="1206"/>
      <c r="AK18" s="1204"/>
      <c r="AL18" s="1207"/>
    </row>
    <row r="19" spans="1:38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1201"/>
      <c r="AH19" s="1171"/>
      <c r="AI19" s="1204"/>
      <c r="AJ19" s="1206"/>
      <c r="AK19" s="1204"/>
      <c r="AL19" s="1207"/>
    </row>
    <row r="20" spans="1:38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1070"/>
      <c r="V20" s="1068"/>
      <c r="W20" s="990"/>
      <c r="X20" s="938"/>
      <c r="Y20" s="990"/>
      <c r="Z20" s="938"/>
      <c r="AA20" s="986"/>
      <c r="AB20" s="938"/>
      <c r="AC20" s="991"/>
      <c r="AD20" s="938"/>
      <c r="AE20" s="994"/>
      <c r="AF20" s="1073"/>
      <c r="AG20" s="1201"/>
      <c r="AH20" s="1171"/>
      <c r="AI20" s="1204"/>
      <c r="AJ20" s="1208"/>
      <c r="AK20" s="1204"/>
      <c r="AL20" s="1207"/>
    </row>
    <row r="21" spans="1:38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1070"/>
      <c r="V21" s="106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1201"/>
      <c r="AH21" s="1171"/>
      <c r="AI21" s="1204"/>
      <c r="AJ21" s="1208"/>
      <c r="AK21" s="1204"/>
      <c r="AL21" s="1207"/>
    </row>
    <row r="22" spans="1:38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1201"/>
      <c r="AH22" s="1171"/>
      <c r="AI22" s="1204"/>
      <c r="AJ22" s="1206"/>
      <c r="AK22" s="1204"/>
      <c r="AL22" s="1207"/>
    </row>
    <row r="23" spans="1:38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1201"/>
      <c r="AH23" s="1171"/>
      <c r="AI23" s="1204"/>
      <c r="AJ23" s="1206"/>
      <c r="AK23" s="1204"/>
      <c r="AL23" s="1207"/>
    </row>
    <row r="24" spans="1:38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1201"/>
      <c r="AH24" s="1171"/>
      <c r="AI24" s="1204"/>
      <c r="AJ24" s="1209"/>
      <c r="AK24" s="1204"/>
      <c r="AL24" s="1207"/>
    </row>
    <row r="25" spans="1:38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1201"/>
      <c r="AH25" s="1171"/>
      <c r="AI25" s="1204"/>
      <c r="AJ25" s="1209"/>
      <c r="AK25" s="1204"/>
      <c r="AL25" s="1207"/>
    </row>
    <row r="26" spans="1:38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1201"/>
      <c r="AH26" s="1171"/>
      <c r="AI26" s="1204"/>
      <c r="AJ26" s="1206"/>
      <c r="AK26" s="1204"/>
      <c r="AL26" s="1207"/>
    </row>
    <row r="27" spans="1:38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1201"/>
      <c r="AH27" s="1171"/>
      <c r="AI27" s="1204"/>
      <c r="AJ27" s="1206"/>
      <c r="AK27" s="1204"/>
      <c r="AL27" s="1207"/>
    </row>
    <row r="28" spans="1:38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1201"/>
      <c r="AH28" s="1171"/>
      <c r="AI28" s="1204"/>
      <c r="AJ28" s="1206"/>
      <c r="AK28" s="1204"/>
      <c r="AL28" s="1207"/>
    </row>
    <row r="29" spans="1:38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1171"/>
      <c r="AI29" s="1204"/>
      <c r="AJ29" s="1206"/>
      <c r="AK29" s="1204"/>
      <c r="AL29" s="1207"/>
    </row>
    <row r="30" spans="1:38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1171"/>
      <c r="AI30" s="1205"/>
      <c r="AJ30" s="1206"/>
      <c r="AK30" s="1204"/>
      <c r="AL30" s="1207"/>
    </row>
    <row r="31" spans="1:38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1171"/>
      <c r="AI31" s="1205"/>
      <c r="AJ31" s="1206"/>
      <c r="AK31" s="1204"/>
      <c r="AL31" s="1207"/>
    </row>
    <row r="32" spans="1:38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1171"/>
      <c r="AI32" s="1204"/>
      <c r="AJ32" s="1206"/>
      <c r="AK32" s="1204"/>
      <c r="AL32" s="1207"/>
    </row>
    <row r="33" spans="1:38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1171"/>
      <c r="AI33" s="1205"/>
      <c r="AJ33" s="1206"/>
      <c r="AK33" s="1204"/>
      <c r="AL33" s="1207"/>
    </row>
    <row r="34" spans="1:38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1171"/>
      <c r="AI34" s="1204"/>
      <c r="AJ34" s="1206"/>
      <c r="AK34" s="1204"/>
      <c r="AL34" s="1207"/>
    </row>
    <row r="35" spans="1:38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1171"/>
      <c r="AI35" s="1204"/>
      <c r="AJ35" s="1206"/>
      <c r="AK35" s="1204"/>
      <c r="AL35" s="1207"/>
    </row>
    <row r="36" spans="1:38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1171"/>
      <c r="AI36" s="1204"/>
      <c r="AJ36" s="1206"/>
      <c r="AK36" s="1204"/>
      <c r="AL36" s="1207"/>
    </row>
    <row r="37" spans="1:38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8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8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  <c r="AI39" s="1204"/>
      <c r="AJ39" s="1206"/>
      <c r="AK39" s="1204"/>
    </row>
    <row r="40" spans="1:38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8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8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8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8" x14ac:dyDescent="0.25">
      <c r="A44" s="872">
        <f>SUM(A3:A42)</f>
        <v>3710.7</v>
      </c>
      <c r="B44" s="626"/>
      <c r="C44" s="949">
        <f>SUM(C3:C42)</f>
        <v>0</v>
      </c>
      <c r="D44" s="950">
        <f>SUM(D3:D42)</f>
        <v>1195.32</v>
      </c>
      <c r="E44" s="629">
        <v>0</v>
      </c>
      <c r="F44" s="956">
        <f>SUM(F3:F42)</f>
        <v>237.01</v>
      </c>
      <c r="G44" s="936">
        <f>SUM(G3:G42)</f>
        <v>0</v>
      </c>
      <c r="H44" s="957">
        <f>SUM(H3:H42)</f>
        <v>159.69999999999999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852.98999999999978</v>
      </c>
      <c r="P44" s="1078" t="s">
        <v>395</v>
      </c>
      <c r="Q44" s="1045">
        <f>SUM(Q3:Q38)</f>
        <v>660</v>
      </c>
      <c r="R44" s="1078" t="s">
        <v>103</v>
      </c>
      <c r="S44" s="1045">
        <f>SUM(S3:S42)</f>
        <v>200</v>
      </c>
      <c r="T44" s="1078" t="s">
        <v>103</v>
      </c>
      <c r="U44" s="1045">
        <f>SUM(U3:U42)</f>
        <v>1300</v>
      </c>
      <c r="V44" s="1078" t="s">
        <v>103</v>
      </c>
      <c r="W44" s="1045">
        <f>SUM(W3:W42)</f>
        <v>100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6000</v>
      </c>
      <c r="AF44" s="629"/>
      <c r="AG44" s="957">
        <f>SUM(AG3:AG42)</f>
        <v>3350</v>
      </c>
      <c r="AH44" s="614"/>
    </row>
    <row r="45" spans="1:38" ht="15.75" thickBot="1" x14ac:dyDescent="0.3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/>
      <c r="N45" s="1059">
        <f>N3+N4+N5+N6+N7+N8+N9+N10</f>
        <v>89.88</v>
      </c>
      <c r="O45" s="1023">
        <v>400</v>
      </c>
      <c r="P45" s="935" t="s">
        <v>437</v>
      </c>
      <c r="Q45" s="1118">
        <v>400</v>
      </c>
      <c r="R45" s="935" t="str">
        <f>P45</f>
        <v>Listopad</v>
      </c>
      <c r="S45" s="1023">
        <v>200</v>
      </c>
      <c r="T45" s="935" t="str">
        <f>P45</f>
        <v>Listopad</v>
      </c>
      <c r="U45" s="1023">
        <v>0</v>
      </c>
      <c r="V45" s="935" t="str">
        <f>P45</f>
        <v>Listopad</v>
      </c>
      <c r="W45" s="1024">
        <v>0</v>
      </c>
      <c r="X45" s="935" t="str">
        <f>P45</f>
        <v>Listopad</v>
      </c>
      <c r="Y45" s="1024">
        <v>0</v>
      </c>
      <c r="Z45" s="935" t="str">
        <f>P45</f>
        <v>Listopad</v>
      </c>
      <c r="AA45" s="1024">
        <v>0</v>
      </c>
      <c r="AB45" s="935" t="str">
        <f>P45</f>
        <v>Listopad</v>
      </c>
      <c r="AC45" s="1024">
        <v>0</v>
      </c>
      <c r="AD45" s="935" t="str">
        <f>P45</f>
        <v>Listopad</v>
      </c>
      <c r="AE45" s="951"/>
      <c r="AF45" s="635"/>
      <c r="AG45" s="935"/>
      <c r="AH45" s="614"/>
    </row>
    <row r="46" spans="1:38" ht="16.5" thickTop="1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>
        <f>O44-O45</f>
        <v>452.98999999999978</v>
      </c>
      <c r="P46" s="971" t="s">
        <v>555</v>
      </c>
      <c r="Q46" s="973">
        <f>Q44-Q45</f>
        <v>260</v>
      </c>
      <c r="R46" s="971" t="str">
        <f>P46</f>
        <v>Prosinec</v>
      </c>
      <c r="S46" s="973">
        <f>S44-S45</f>
        <v>0</v>
      </c>
      <c r="T46" s="971" t="str">
        <f>P46</f>
        <v>Prosinec</v>
      </c>
      <c r="U46" s="973">
        <f>U44-U45</f>
        <v>1300</v>
      </c>
      <c r="V46" s="971" t="str">
        <f>P46</f>
        <v>Prosinec</v>
      </c>
      <c r="W46" s="974">
        <f>W44-W45</f>
        <v>100</v>
      </c>
      <c r="X46" s="971" t="str">
        <f>P46</f>
        <v>Prosinec</v>
      </c>
      <c r="Y46" s="974">
        <f>Y44-Y45</f>
        <v>0</v>
      </c>
      <c r="Z46" s="971" t="str">
        <f>P46</f>
        <v>Prosinec</v>
      </c>
      <c r="AA46" s="974">
        <f>AA44-AA45</f>
        <v>0</v>
      </c>
      <c r="AB46" s="971" t="str">
        <f>P46</f>
        <v>Prosinec</v>
      </c>
      <c r="AC46" s="1022">
        <f>AC44-AC45</f>
        <v>0</v>
      </c>
      <c r="AD46" s="971" t="str">
        <f>P46</f>
        <v>Prosinec</v>
      </c>
      <c r="AE46" s="972"/>
      <c r="AF46" s="970"/>
      <c r="AG46" s="971"/>
      <c r="AH46" s="614"/>
    </row>
    <row r="47" spans="1:38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826"/>
      <c r="P47" s="610"/>
      <c r="Q47" s="1217">
        <v>1000</v>
      </c>
      <c r="R47" s="1031" t="s">
        <v>708</v>
      </c>
      <c r="S47" s="1032"/>
      <c r="T47" s="610"/>
      <c r="U47" s="1212"/>
      <c r="V47" s="3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8" x14ac:dyDescent="0.25">
      <c r="Q48" s="1033"/>
      <c r="R48" s="1034"/>
      <c r="S48" s="1035"/>
      <c r="U48" s="1213"/>
      <c r="V48" s="610"/>
      <c r="X48" s="610"/>
      <c r="Y48" s="1076">
        <v>0</v>
      </c>
      <c r="Z48" s="935" t="str">
        <f>P45</f>
        <v>Listopad</v>
      </c>
      <c r="AA48" s="1024">
        <v>0</v>
      </c>
      <c r="AB48" s="935" t="str">
        <f>P45</f>
        <v>Listopad</v>
      </c>
      <c r="AC48" s="1024">
        <v>0</v>
      </c>
      <c r="AD48" s="935" t="str">
        <f>P45</f>
        <v>Listopad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>Prosinec</v>
      </c>
      <c r="AA49" s="974">
        <f>AA47-AA48</f>
        <v>0</v>
      </c>
      <c r="AB49" s="971" t="str">
        <f>P46</f>
        <v>Prosinec</v>
      </c>
      <c r="AC49" s="974">
        <f>AC47-AC48</f>
        <v>0</v>
      </c>
      <c r="AD49" s="971" t="str">
        <f>P46</f>
        <v>Prosinec</v>
      </c>
    </row>
    <row r="50" spans="17:31" ht="15.75" thickTop="1" x14ac:dyDescent="0.25">
      <c r="R50" s="1215" t="s">
        <v>709</v>
      </c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929">
        <v>40</v>
      </c>
      <c r="R51" t="s">
        <v>649</v>
      </c>
      <c r="S51" s="1035"/>
      <c r="X51" s="610"/>
      <c r="Y51" s="1076">
        <v>0</v>
      </c>
      <c r="Z51" s="935" t="str">
        <f>P45</f>
        <v>Listopad</v>
      </c>
      <c r="AA51" s="1024">
        <v>0</v>
      </c>
      <c r="AB51" s="935" t="str">
        <f>P45</f>
        <v>Listopad</v>
      </c>
      <c r="AC51" s="1024">
        <v>0</v>
      </c>
      <c r="AD51" s="935" t="str">
        <f>P45</f>
        <v>Listopad</v>
      </c>
    </row>
    <row r="52" spans="17:31" ht="15.75" thickBot="1" x14ac:dyDescent="0.3">
      <c r="Q52" s="929">
        <v>40</v>
      </c>
      <c r="R52" t="s">
        <v>710</v>
      </c>
      <c r="S52" s="1035"/>
      <c r="X52" s="610"/>
      <c r="Y52" s="1077">
        <f>Y50-Y51</f>
        <v>0</v>
      </c>
      <c r="Z52" s="971" t="str">
        <f>P46</f>
        <v>Prosinec</v>
      </c>
      <c r="AA52" s="974">
        <f>AA50-AA51</f>
        <v>0</v>
      </c>
      <c r="AB52" s="971" t="str">
        <f>P46</f>
        <v>Prosinec</v>
      </c>
      <c r="AC52" s="974">
        <f>AC50-AC51</f>
        <v>0</v>
      </c>
      <c r="AD52" s="971" t="str">
        <f>P46</f>
        <v>Prosinec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43:C43"/>
    <mergeCell ref="G43:H43"/>
    <mergeCell ref="I43:K43"/>
    <mergeCell ref="L43:N43"/>
    <mergeCell ref="O43:P43"/>
    <mergeCell ref="Q43:R43"/>
    <mergeCell ref="AE1:AG1"/>
    <mergeCell ref="AH1:AI1"/>
    <mergeCell ref="AJ1:AK1"/>
    <mergeCell ref="AH4:AI4"/>
    <mergeCell ref="AJ4:AK4"/>
    <mergeCell ref="AH9:AI9"/>
    <mergeCell ref="Q1:AD1"/>
    <mergeCell ref="AE43:AG43"/>
    <mergeCell ref="S43:T43"/>
    <mergeCell ref="U43:V43"/>
    <mergeCell ref="W43:X43"/>
    <mergeCell ref="Y43:Z43"/>
    <mergeCell ref="AA43:AB43"/>
    <mergeCell ref="AC43:AD43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pageSetup scale="0" firstPageNumber="0" fitToWidth="0" fitToHeight="0" orientation="portrait" horizontalDpi="0" verticalDpi="0" copies="0"/>
  <legacyDrawing r:id="rId1"/>
  <tableParts count="1">
    <tablePart r:id="rId2"/>
  </tableParts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E25BAA-46E4-C24C-83DA-DBA99C3BACE9}">
  <dimension ref="A1:AP61"/>
  <sheetViews>
    <sheetView topLeftCell="S1" zoomScaleNormal="60" zoomScaleSheetLayoutView="100" workbookViewId="0">
      <selection activeCell="U51" sqref="U51:V53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7109375" bestFit="1" customWidth="1"/>
    <col min="4" max="5" width="9" bestFit="1" customWidth="1"/>
    <col min="6" max="6" width="10.5703125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11.28515625" customWidth="1"/>
    <col min="17" max="17" width="15.285156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4" customWidth="1"/>
    <col min="37" max="37" width="13.140625" customWidth="1"/>
    <col min="38" max="38" width="14.28515625" customWidth="1"/>
    <col min="39" max="39" width="10.28515625" customWidth="1"/>
    <col min="40" max="40" width="12.85546875" customWidth="1"/>
    <col min="41" max="41" width="13" customWidth="1"/>
    <col min="42" max="42" width="12.7109375" bestFit="1" customWidth="1"/>
  </cols>
  <sheetData>
    <row r="1" spans="1:42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699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  <c r="AO1" s="1211" t="s">
        <v>47</v>
      </c>
      <c r="AP1" s="879" t="s">
        <v>689</v>
      </c>
    </row>
    <row r="2" spans="1:42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461</v>
      </c>
      <c r="R2" s="966" t="s">
        <v>441</v>
      </c>
      <c r="S2" s="967" t="s">
        <v>471</v>
      </c>
      <c r="T2" s="966" t="s">
        <v>442</v>
      </c>
      <c r="U2" s="964" t="s">
        <v>583</v>
      </c>
      <c r="V2" s="966" t="s">
        <v>443</v>
      </c>
      <c r="W2" s="964" t="s">
        <v>553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  <c r="AO2" s="1211">
        <v>45166</v>
      </c>
      <c r="AP2" s="879">
        <v>12000</v>
      </c>
    </row>
    <row r="3" spans="1:42" ht="16.5" thickTop="1" thickBot="1" x14ac:dyDescent="0.3">
      <c r="A3" s="855"/>
      <c r="B3" s="979">
        <v>45166</v>
      </c>
      <c r="C3" s="945">
        <v>2505</v>
      </c>
      <c r="D3" s="619"/>
      <c r="E3" s="979">
        <v>45167</v>
      </c>
      <c r="F3" s="952">
        <v>160.02000000000001</v>
      </c>
      <c r="G3" s="975">
        <v>13.1</v>
      </c>
      <c r="H3" s="952"/>
      <c r="I3" s="619"/>
      <c r="J3" s="978"/>
      <c r="K3" s="952"/>
      <c r="L3" s="959"/>
      <c r="M3" s="981" t="s">
        <v>679</v>
      </c>
      <c r="N3" s="952">
        <v>46.95</v>
      </c>
      <c r="O3" s="984">
        <f t="shared" ref="O3" si="0">AG44-AK6-AI3</f>
        <v>1450.0900000000001</v>
      </c>
      <c r="P3" s="945">
        <f>AE44-AJ6</f>
        <v>2395</v>
      </c>
      <c r="Q3" s="984"/>
      <c r="R3" s="937"/>
      <c r="S3" s="984"/>
      <c r="T3" s="937"/>
      <c r="U3" s="1200">
        <v>1000</v>
      </c>
      <c r="V3" s="937" t="s">
        <v>80</v>
      </c>
      <c r="W3" s="989"/>
      <c r="X3" s="937"/>
      <c r="Y3" s="989"/>
      <c r="Z3" s="937"/>
      <c r="AA3" s="984"/>
      <c r="AB3" s="937"/>
      <c r="AC3" s="990"/>
      <c r="AD3" s="937"/>
      <c r="AE3" s="993"/>
      <c r="AF3" s="997" t="s">
        <v>119</v>
      </c>
      <c r="AG3" s="963">
        <f>'04cash'!AI3</f>
        <v>0</v>
      </c>
      <c r="AH3" s="299">
        <v>0</v>
      </c>
      <c r="AI3" s="300">
        <v>250</v>
      </c>
      <c r="AJ3" s="301">
        <f>AH6+AJ6</f>
        <v>8605</v>
      </c>
      <c r="AK3" s="302">
        <f>AK6+AI6</f>
        <v>2979.91</v>
      </c>
      <c r="AO3" s="1211">
        <v>45173</v>
      </c>
      <c r="AP3" s="879">
        <v>15000</v>
      </c>
    </row>
    <row r="4" spans="1:42" ht="19.5" thickBot="1" x14ac:dyDescent="0.3">
      <c r="A4" s="856"/>
      <c r="B4" s="979">
        <v>45194</v>
      </c>
      <c r="C4" s="946">
        <v>2400</v>
      </c>
      <c r="D4" s="618"/>
      <c r="E4" s="979">
        <v>45175</v>
      </c>
      <c r="F4" s="953">
        <v>155.01</v>
      </c>
      <c r="G4" s="976">
        <v>3</v>
      </c>
      <c r="H4" s="953"/>
      <c r="I4" s="618"/>
      <c r="J4" s="979"/>
      <c r="K4" s="953"/>
      <c r="L4" s="960"/>
      <c r="M4" s="982" t="s">
        <v>680</v>
      </c>
      <c r="N4" s="953">
        <v>16.100000000000001</v>
      </c>
      <c r="O4" s="976"/>
      <c r="P4" s="946"/>
      <c r="Q4" s="986"/>
      <c r="R4" s="938"/>
      <c r="S4" s="986"/>
      <c r="T4" s="938"/>
      <c r="U4" s="1143">
        <v>1500</v>
      </c>
      <c r="V4" s="938" t="s">
        <v>80</v>
      </c>
      <c r="W4" s="990"/>
      <c r="X4" s="938"/>
      <c r="Y4" s="990"/>
      <c r="Z4" s="938"/>
      <c r="AA4" s="986"/>
      <c r="AB4" s="938"/>
      <c r="AC4" s="1051"/>
      <c r="AD4" s="938"/>
      <c r="AE4" s="994">
        <v>11000</v>
      </c>
      <c r="AF4" s="997"/>
      <c r="AG4" s="963">
        <v>4180</v>
      </c>
      <c r="AH4" s="1282" t="s">
        <v>63</v>
      </c>
      <c r="AI4" s="1245"/>
      <c r="AJ4" s="1246" t="s">
        <v>64</v>
      </c>
      <c r="AK4" s="1237"/>
      <c r="AO4" s="1211">
        <v>45188</v>
      </c>
      <c r="AP4" s="879">
        <v>12500</v>
      </c>
    </row>
    <row r="5" spans="1:42" ht="15.75" x14ac:dyDescent="0.25">
      <c r="A5" s="856"/>
      <c r="B5" s="979"/>
      <c r="C5" s="946">
        <v>1200</v>
      </c>
      <c r="D5" s="618"/>
      <c r="E5" s="979">
        <v>45186</v>
      </c>
      <c r="F5" s="953">
        <v>30</v>
      </c>
      <c r="G5" s="976">
        <v>53.3</v>
      </c>
      <c r="H5" s="953"/>
      <c r="I5" s="618"/>
      <c r="J5" s="979"/>
      <c r="K5" s="953"/>
      <c r="L5" s="960"/>
      <c r="M5" s="982" t="s">
        <v>685</v>
      </c>
      <c r="N5" s="953">
        <v>13.2</v>
      </c>
      <c r="O5" s="976"/>
      <c r="P5" s="946"/>
      <c r="Q5" s="1070"/>
      <c r="R5" s="1068"/>
      <c r="S5" s="986"/>
      <c r="T5" s="938"/>
      <c r="U5" s="976">
        <v>100</v>
      </c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/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  <c r="AO5" s="1211">
        <v>45194</v>
      </c>
      <c r="AP5" s="879">
        <v>24000</v>
      </c>
    </row>
    <row r="6" spans="1:42" ht="15.75" thickBot="1" x14ac:dyDescent="0.3">
      <c r="A6" s="856"/>
      <c r="B6" s="979"/>
      <c r="C6" s="946"/>
      <c r="D6" s="618"/>
      <c r="E6" s="979">
        <v>45188</v>
      </c>
      <c r="F6" s="953">
        <v>150</v>
      </c>
      <c r="G6" s="976">
        <v>31</v>
      </c>
      <c r="H6" s="953"/>
      <c r="I6" s="618"/>
      <c r="J6" s="979"/>
      <c r="K6" s="953"/>
      <c r="L6" s="960"/>
      <c r="M6" s="982" t="s">
        <v>685</v>
      </c>
      <c r="N6" s="953">
        <v>13.9</v>
      </c>
      <c r="O6" s="976"/>
      <c r="P6" s="946"/>
      <c r="Q6" s="1070"/>
      <c r="R6" s="1068"/>
      <c r="S6" s="986"/>
      <c r="T6" s="938"/>
      <c r="U6" s="976">
        <v>100</v>
      </c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/>
      <c r="AG6" s="963"/>
      <c r="AH6" s="612">
        <f>A44+L44</f>
        <v>0</v>
      </c>
      <c r="AI6" s="317">
        <f>D44+H44+K44+N45</f>
        <v>0</v>
      </c>
      <c r="AJ6" s="128">
        <f>L45+C44+U48</f>
        <v>8605</v>
      </c>
      <c r="AK6" s="129">
        <f>F44+G44+I44+M45+Q44+S44+W44+Y44+AA44+AC44+Y47+Y50+AA47+AA50+AC47+AC50+U44+AC16</f>
        <v>2979.91</v>
      </c>
      <c r="AO6" s="1211">
        <v>45205</v>
      </c>
      <c r="AP6" s="879">
        <v>24000</v>
      </c>
    </row>
    <row r="7" spans="1:42" ht="19.5" thickBot="1" x14ac:dyDescent="0.3">
      <c r="A7" s="856"/>
      <c r="B7" s="979"/>
      <c r="C7" s="946"/>
      <c r="D7" s="618"/>
      <c r="E7" s="979">
        <v>45190</v>
      </c>
      <c r="F7" s="953">
        <v>115.01</v>
      </c>
      <c r="G7" s="976">
        <v>35</v>
      </c>
      <c r="H7" s="953"/>
      <c r="I7" s="618"/>
      <c r="J7" s="979"/>
      <c r="K7" s="953"/>
      <c r="L7" s="960"/>
      <c r="M7" s="982" t="s">
        <v>686</v>
      </c>
      <c r="N7" s="953">
        <v>20.350000000000001</v>
      </c>
      <c r="O7" s="976"/>
      <c r="P7" s="946"/>
      <c r="Q7" s="1070"/>
      <c r="R7" s="1068"/>
      <c r="S7" s="986"/>
      <c r="T7" s="938"/>
      <c r="U7" s="976">
        <v>100</v>
      </c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/>
      <c r="AG7" s="963"/>
      <c r="AH7" s="613" t="s">
        <v>66</v>
      </c>
      <c r="AI7" s="321" t="s">
        <v>67</v>
      </c>
      <c r="AO7" s="1211">
        <v>45211</v>
      </c>
      <c r="AP7" s="879">
        <v>12500</v>
      </c>
    </row>
    <row r="8" spans="1:42" x14ac:dyDescent="0.25">
      <c r="A8" s="856"/>
      <c r="B8" s="979"/>
      <c r="C8" s="946"/>
      <c r="D8" s="618"/>
      <c r="E8" s="979">
        <v>45195</v>
      </c>
      <c r="F8" s="953">
        <v>200.01</v>
      </c>
      <c r="G8" s="976">
        <v>50</v>
      </c>
      <c r="H8" s="953"/>
      <c r="I8" s="618"/>
      <c r="J8" s="979"/>
      <c r="K8" s="953"/>
      <c r="L8" s="960"/>
      <c r="M8" s="982" t="s">
        <v>686</v>
      </c>
      <c r="N8" s="953">
        <v>13.6</v>
      </c>
      <c r="O8" s="976"/>
      <c r="P8" s="946"/>
      <c r="Q8" s="1070"/>
      <c r="R8" s="1068"/>
      <c r="S8" s="976"/>
      <c r="T8" s="938"/>
      <c r="U8" s="976">
        <v>25</v>
      </c>
      <c r="V8" s="938" t="s">
        <v>678</v>
      </c>
      <c r="W8" s="990"/>
      <c r="X8" s="938"/>
      <c r="Y8" s="990"/>
      <c r="Z8" s="938"/>
      <c r="AA8" s="986"/>
      <c r="AB8" s="938"/>
      <c r="AC8" s="990"/>
      <c r="AD8" s="938"/>
      <c r="AE8" s="994"/>
      <c r="AF8" s="997"/>
      <c r="AG8" s="963"/>
      <c r="AH8" s="326">
        <v>0</v>
      </c>
      <c r="AI8" s="327">
        <f>E44</f>
        <v>0</v>
      </c>
      <c r="AO8" s="1211">
        <v>45222</v>
      </c>
      <c r="AP8" s="879">
        <v>14500</v>
      </c>
    </row>
    <row r="9" spans="1:42" ht="15.75" thickBot="1" x14ac:dyDescent="0.3">
      <c r="A9" s="856"/>
      <c r="B9" s="979"/>
      <c r="C9" s="946"/>
      <c r="D9" s="618"/>
      <c r="E9" s="979">
        <v>45202</v>
      </c>
      <c r="F9" s="953">
        <v>90</v>
      </c>
      <c r="G9" s="976"/>
      <c r="H9" s="953"/>
      <c r="I9" s="618"/>
      <c r="J9" s="979"/>
      <c r="K9" s="953"/>
      <c r="L9" s="960"/>
      <c r="M9" s="982" t="s">
        <v>687</v>
      </c>
      <c r="N9" s="953">
        <v>9.9499999999999993</v>
      </c>
      <c r="O9" s="976"/>
      <c r="P9" s="946"/>
      <c r="Q9" s="986"/>
      <c r="R9" s="938"/>
      <c r="S9" s="976"/>
      <c r="T9" s="938"/>
      <c r="U9" s="1062">
        <v>10</v>
      </c>
      <c r="V9" s="1068" t="s">
        <v>696</v>
      </c>
      <c r="W9" s="990"/>
      <c r="X9" s="938"/>
      <c r="Y9" s="990"/>
      <c r="Z9" s="938"/>
      <c r="AA9" s="986"/>
      <c r="AB9" s="938"/>
      <c r="AC9" s="990"/>
      <c r="AD9" s="938"/>
      <c r="AE9" s="1143"/>
      <c r="AF9" s="997"/>
      <c r="AG9" s="963"/>
      <c r="AH9" s="1244">
        <f>AH8-AI8</f>
        <v>0</v>
      </c>
      <c r="AI9" s="1222"/>
      <c r="AO9" s="1210" t="s">
        <v>103</v>
      </c>
      <c r="AP9" s="879">
        <f>SUM(AP2:AP8)</f>
        <v>114500</v>
      </c>
    </row>
    <row r="10" spans="1:42" x14ac:dyDescent="0.25">
      <c r="A10" s="1155"/>
      <c r="B10" s="979"/>
      <c r="C10" s="1060"/>
      <c r="D10" s="663"/>
      <c r="E10" s="979">
        <v>45203</v>
      </c>
      <c r="F10" s="1061">
        <v>120</v>
      </c>
      <c r="G10" s="1062"/>
      <c r="H10" s="1063"/>
      <c r="I10" s="1064"/>
      <c r="J10" s="979"/>
      <c r="K10" s="1065"/>
      <c r="L10" s="1066"/>
      <c r="M10" s="982" t="s">
        <v>698</v>
      </c>
      <c r="N10" s="1061">
        <v>38.69</v>
      </c>
      <c r="O10" s="1067"/>
      <c r="P10" s="1060"/>
      <c r="Q10" s="1070"/>
      <c r="R10" s="1068"/>
      <c r="S10" s="1069"/>
      <c r="T10" s="1068"/>
      <c r="U10" s="1062">
        <v>50</v>
      </c>
      <c r="V10" s="1068">
        <v>45195</v>
      </c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/>
      <c r="AG10" s="963"/>
      <c r="AH10" s="610"/>
      <c r="AI10" s="1052"/>
      <c r="AM10" s="1294" t="s">
        <v>702</v>
      </c>
      <c r="AN10" s="1294"/>
      <c r="AO10" s="1294"/>
      <c r="AP10" s="1294"/>
    </row>
    <row r="11" spans="1:42" x14ac:dyDescent="0.25">
      <c r="A11" s="1155"/>
      <c r="B11" s="979"/>
      <c r="C11" s="1060"/>
      <c r="D11" s="663"/>
      <c r="E11" s="979">
        <v>45206</v>
      </c>
      <c r="F11" s="1061">
        <v>50</v>
      </c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/>
      <c r="R11" s="1068"/>
      <c r="S11" s="1069"/>
      <c r="T11" s="1068"/>
      <c r="U11" s="1062">
        <v>20</v>
      </c>
      <c r="V11" s="1068" t="s">
        <v>677</v>
      </c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/>
      <c r="AG11" s="1201"/>
      <c r="AH11" s="610" t="s">
        <v>47</v>
      </c>
      <c r="AI11" s="1052" t="s">
        <v>688</v>
      </c>
      <c r="AJ11" t="s">
        <v>689</v>
      </c>
      <c r="AK11" t="s">
        <v>690</v>
      </c>
      <c r="AL11" t="s">
        <v>691</v>
      </c>
      <c r="AM11" t="s">
        <v>701</v>
      </c>
      <c r="AN11" s="1214" t="s">
        <v>704</v>
      </c>
      <c r="AO11" s="1214" t="s">
        <v>703</v>
      </c>
      <c r="AP11" t="s">
        <v>164</v>
      </c>
    </row>
    <row r="12" spans="1:42" x14ac:dyDescent="0.25">
      <c r="A12" s="1155"/>
      <c r="B12" s="979"/>
      <c r="C12" s="1060"/>
      <c r="D12" s="663"/>
      <c r="E12" s="979">
        <v>45206</v>
      </c>
      <c r="F12" s="1061">
        <v>140</v>
      </c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/>
      <c r="R12" s="1068"/>
      <c r="S12" s="1069"/>
      <c r="T12" s="1068"/>
      <c r="U12" s="1062">
        <v>20</v>
      </c>
      <c r="V12" s="1068" t="s">
        <v>681</v>
      </c>
      <c r="W12" s="1050"/>
      <c r="X12" s="938"/>
      <c r="Y12" s="991"/>
      <c r="Z12" s="938"/>
      <c r="AA12" s="986"/>
      <c r="AB12" s="1071"/>
      <c r="AC12" s="1050"/>
      <c r="AD12" s="1071"/>
      <c r="AE12" s="994"/>
      <c r="AF12" s="1144"/>
      <c r="AG12" s="1202"/>
      <c r="AH12" s="1171">
        <v>45166</v>
      </c>
      <c r="AI12" s="1203"/>
      <c r="AJ12" s="1206">
        <v>4500</v>
      </c>
      <c r="AK12" s="1204"/>
      <c r="AL12" s="1207"/>
      <c r="AM12" s="827">
        <v>45167</v>
      </c>
      <c r="AN12" s="1204">
        <v>206.5</v>
      </c>
      <c r="AO12" s="1206">
        <v>5000</v>
      </c>
    </row>
    <row r="13" spans="1:42" x14ac:dyDescent="0.25">
      <c r="A13" s="1155"/>
      <c r="B13" s="979"/>
      <c r="C13" s="1060"/>
      <c r="D13" s="663"/>
      <c r="E13" s="979">
        <v>45207</v>
      </c>
      <c r="F13" s="1061">
        <v>147.02000000000001</v>
      </c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/>
      <c r="R13" s="1068"/>
      <c r="S13" s="1069"/>
      <c r="T13" s="1068"/>
      <c r="U13" s="1062">
        <v>20</v>
      </c>
      <c r="V13" s="1068">
        <v>45201</v>
      </c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1201"/>
      <c r="AH13" s="1171">
        <v>45167</v>
      </c>
      <c r="AI13" s="1203">
        <v>200</v>
      </c>
      <c r="AJ13" s="1206">
        <v>5000.8500000000004</v>
      </c>
      <c r="AK13" s="1204">
        <v>4.0199999999999996</v>
      </c>
      <c r="AL13" s="1207"/>
      <c r="AM13" s="827">
        <v>45168</v>
      </c>
      <c r="AN13" s="1204">
        <v>40.03</v>
      </c>
      <c r="AO13" s="1206">
        <v>967</v>
      </c>
    </row>
    <row r="14" spans="1:42" x14ac:dyDescent="0.25">
      <c r="A14" s="856"/>
      <c r="B14" s="979"/>
      <c r="C14" s="946"/>
      <c r="D14" s="618"/>
      <c r="E14" s="979">
        <v>45212</v>
      </c>
      <c r="F14" s="953">
        <v>165</v>
      </c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1062">
        <v>20</v>
      </c>
      <c r="V14" s="1068" t="s">
        <v>682</v>
      </c>
      <c r="W14" s="990"/>
      <c r="X14" s="938"/>
      <c r="Y14" s="990"/>
      <c r="Z14" s="938"/>
      <c r="AA14" s="976"/>
      <c r="AB14" s="938"/>
      <c r="AC14" s="991"/>
      <c r="AD14" s="938"/>
      <c r="AE14" s="994"/>
      <c r="AF14" s="997"/>
      <c r="AG14" s="1201"/>
      <c r="AH14" s="1171">
        <v>45168</v>
      </c>
      <c r="AI14" s="1203">
        <v>40</v>
      </c>
      <c r="AJ14" s="1206">
        <v>1011.1</v>
      </c>
      <c r="AK14" s="1204">
        <v>1.25</v>
      </c>
      <c r="AL14" s="1207"/>
      <c r="AM14" s="827">
        <v>45173</v>
      </c>
      <c r="AN14" s="1204">
        <v>620.69000000000005</v>
      </c>
      <c r="AO14" s="1206">
        <v>15000</v>
      </c>
    </row>
    <row r="15" spans="1:42" ht="18.75" x14ac:dyDescent="0.25">
      <c r="A15" s="856"/>
      <c r="B15" s="979"/>
      <c r="C15" s="946"/>
      <c r="D15" s="618"/>
      <c r="E15" s="979">
        <v>45218</v>
      </c>
      <c r="F15" s="953">
        <v>130</v>
      </c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1062">
        <v>20</v>
      </c>
      <c r="V15" s="1068" t="s">
        <v>683</v>
      </c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1201"/>
      <c r="AH15" s="1171">
        <v>45173</v>
      </c>
      <c r="AI15" s="1204">
        <v>500</v>
      </c>
      <c r="AJ15" s="1206">
        <v>12502.12</v>
      </c>
      <c r="AK15" s="1204">
        <v>10.050000000000001</v>
      </c>
      <c r="AL15" s="1207"/>
      <c r="AM15" s="827">
        <v>45188</v>
      </c>
      <c r="AN15" s="1204">
        <v>634.5</v>
      </c>
      <c r="AO15" s="1206">
        <v>15600</v>
      </c>
    </row>
    <row r="16" spans="1:42" x14ac:dyDescent="0.25">
      <c r="A16" s="856"/>
      <c r="B16" s="979"/>
      <c r="C16" s="946"/>
      <c r="D16" s="618"/>
      <c r="E16" s="979">
        <v>45219</v>
      </c>
      <c r="F16" s="953">
        <v>150</v>
      </c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1062">
        <v>20</v>
      </c>
      <c r="V16" s="1068">
        <v>45204</v>
      </c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1201"/>
      <c r="AH16" s="1171">
        <v>45188</v>
      </c>
      <c r="AI16" s="1204">
        <v>590</v>
      </c>
      <c r="AJ16" s="1206">
        <v>14752.29</v>
      </c>
      <c r="AK16" s="1204">
        <v>11.85</v>
      </c>
      <c r="AL16" s="1207"/>
      <c r="AM16" s="827">
        <v>45194</v>
      </c>
      <c r="AN16" s="1204">
        <v>881.04</v>
      </c>
      <c r="AO16" s="1206">
        <v>21509.88</v>
      </c>
    </row>
    <row r="17" spans="1:42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62">
        <v>30</v>
      </c>
      <c r="V17" s="1068" t="s">
        <v>684</v>
      </c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1201"/>
      <c r="AH17" s="1171">
        <v>45194</v>
      </c>
      <c r="AI17" s="1204"/>
      <c r="AJ17" s="1206">
        <v>4500</v>
      </c>
      <c r="AK17" s="1204"/>
      <c r="AL17" s="1207">
        <v>90</v>
      </c>
      <c r="AM17" s="827">
        <v>45203</v>
      </c>
      <c r="AN17" s="1204">
        <v>450</v>
      </c>
      <c r="AO17" s="1206">
        <v>11056.54</v>
      </c>
    </row>
    <row r="18" spans="1:42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62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1201"/>
      <c r="AH18" s="1171">
        <v>45194</v>
      </c>
      <c r="AI18" s="1204"/>
      <c r="AJ18" s="1206">
        <v>2000</v>
      </c>
      <c r="AK18" s="1204"/>
      <c r="AL18" s="1207">
        <v>40</v>
      </c>
      <c r="AM18" s="827">
        <v>45206</v>
      </c>
      <c r="AN18" s="1204">
        <v>521.83000000000004</v>
      </c>
      <c r="AO18" s="1206">
        <v>13000</v>
      </c>
      <c r="AP18" s="1204">
        <v>7.95</v>
      </c>
    </row>
    <row r="19" spans="1:42" x14ac:dyDescent="0.25">
      <c r="A19" s="1155"/>
      <c r="B19" s="979"/>
      <c r="C19" s="1060"/>
      <c r="D19" s="663"/>
      <c r="E19" s="979">
        <v>45195</v>
      </c>
      <c r="F19" s="1061">
        <v>100</v>
      </c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62">
        <v>20</v>
      </c>
      <c r="V19" s="1068">
        <v>45205</v>
      </c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1201"/>
      <c r="AH19" s="1171">
        <v>45194</v>
      </c>
      <c r="AI19" s="1204">
        <v>200</v>
      </c>
      <c r="AJ19" s="1206">
        <v>5092.03</v>
      </c>
      <c r="AK19" s="1204">
        <v>7.74</v>
      </c>
      <c r="AL19" s="1207"/>
      <c r="AM19" s="827">
        <v>45207</v>
      </c>
      <c r="AN19" s="1204">
        <v>220</v>
      </c>
      <c r="AO19" s="1206">
        <v>5479.36</v>
      </c>
      <c r="AP19" s="1206">
        <v>80.97</v>
      </c>
    </row>
    <row r="20" spans="1:42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1062">
        <v>40</v>
      </c>
      <c r="V20" s="1068" t="s">
        <v>684</v>
      </c>
      <c r="W20" s="990"/>
      <c r="X20" s="938"/>
      <c r="Y20" s="990"/>
      <c r="Z20" s="938"/>
      <c r="AA20" s="986"/>
      <c r="AB20" s="938"/>
      <c r="AC20" s="991"/>
      <c r="AD20" s="938"/>
      <c r="AE20" s="994"/>
      <c r="AF20" s="997"/>
      <c r="AG20" s="1201"/>
      <c r="AH20" s="1171">
        <v>45195</v>
      </c>
      <c r="AI20" s="1204">
        <v>200</v>
      </c>
      <c r="AJ20" s="1208">
        <v>12664.63</v>
      </c>
      <c r="AK20" s="1204">
        <v>10.65</v>
      </c>
      <c r="AL20" s="1207"/>
      <c r="AM20" s="827">
        <v>45218</v>
      </c>
      <c r="AN20" s="1204">
        <v>300</v>
      </c>
      <c r="AO20" s="1206">
        <v>7455.3</v>
      </c>
      <c r="AP20" s="1206">
        <v>37.090000000000003</v>
      </c>
    </row>
    <row r="21" spans="1:42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1062">
        <v>22.7</v>
      </c>
      <c r="V21" s="1068" t="s">
        <v>694</v>
      </c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1201"/>
      <c r="AH21" s="1171">
        <v>45195</v>
      </c>
      <c r="AI21" s="1204">
        <v>300</v>
      </c>
      <c r="AJ21" s="1208"/>
      <c r="AK21" s="1204">
        <v>6.03</v>
      </c>
      <c r="AL21" s="1207"/>
      <c r="AM21" s="827">
        <v>45219</v>
      </c>
      <c r="AN21" s="1204">
        <v>205</v>
      </c>
      <c r="AO21" s="1206">
        <v>5084.42</v>
      </c>
      <c r="AP21" s="1206">
        <v>25.3</v>
      </c>
    </row>
    <row r="22" spans="1:42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76">
        <v>100</v>
      </c>
      <c r="V22" s="938" t="s">
        <v>695</v>
      </c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1201"/>
      <c r="AH22" s="1171">
        <v>45202</v>
      </c>
      <c r="AI22" s="1204">
        <v>100</v>
      </c>
      <c r="AJ22" s="1206">
        <v>2500.42</v>
      </c>
      <c r="AK22" s="1204">
        <v>2.0099999999999998</v>
      </c>
      <c r="AL22" s="1207"/>
      <c r="AN22" s="1204">
        <f>SUM(AN12:AN21)</f>
        <v>4079.59</v>
      </c>
      <c r="AO22" s="1206">
        <f>SUM(AO12:AO21)</f>
        <v>100152.50000000001</v>
      </c>
    </row>
    <row r="23" spans="1:42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>
        <v>2</v>
      </c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1201"/>
      <c r="AH23" s="1171">
        <v>45203</v>
      </c>
      <c r="AI23" s="1204">
        <v>400</v>
      </c>
      <c r="AJ23" s="1206">
        <v>10001.700000000001</v>
      </c>
      <c r="AK23" s="1204">
        <v>8.0399999999999991</v>
      </c>
      <c r="AL23" s="1207"/>
      <c r="AN23" s="1204"/>
      <c r="AO23" s="1206"/>
    </row>
    <row r="24" spans="1:42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1201"/>
      <c r="AH24" s="1171">
        <v>45206</v>
      </c>
      <c r="AI24" s="1204">
        <v>300</v>
      </c>
      <c r="AJ24" s="1209">
        <v>12502.37</v>
      </c>
      <c r="AK24" s="1204">
        <v>6.04</v>
      </c>
      <c r="AL24" s="1207"/>
      <c r="AO24" s="1206"/>
    </row>
    <row r="25" spans="1:42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1201"/>
      <c r="AH25" s="1171">
        <v>45206</v>
      </c>
      <c r="AI25" s="1204">
        <v>200</v>
      </c>
      <c r="AJ25" s="1209"/>
      <c r="AK25" s="1204">
        <v>4.0199999999999996</v>
      </c>
      <c r="AL25" s="1207"/>
    </row>
    <row r="26" spans="1:42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1201"/>
      <c r="AH26" s="1171">
        <v>45207</v>
      </c>
      <c r="AI26" s="1204">
        <v>210</v>
      </c>
      <c r="AJ26" s="1206">
        <v>5251.11</v>
      </c>
      <c r="AK26" s="1204">
        <v>4.2300000000000004</v>
      </c>
      <c r="AL26" s="1207"/>
    </row>
    <row r="27" spans="1:42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1201"/>
      <c r="AH27" s="1171">
        <v>45212</v>
      </c>
      <c r="AI27" s="1204">
        <v>450</v>
      </c>
      <c r="AJ27" s="1206">
        <v>11252.03</v>
      </c>
      <c r="AK27" s="1204">
        <v>9.0500000000000007</v>
      </c>
      <c r="AL27" s="1207"/>
    </row>
    <row r="28" spans="1:42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1201"/>
      <c r="AH28" s="1171">
        <v>45218</v>
      </c>
      <c r="AI28" s="1204">
        <v>290</v>
      </c>
      <c r="AJ28" s="1206">
        <v>7251.25</v>
      </c>
      <c r="AK28" s="1204">
        <v>5.83</v>
      </c>
      <c r="AL28" s="1207"/>
    </row>
    <row r="29" spans="1:42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1171">
        <v>45219</v>
      </c>
      <c r="AI29" s="1204">
        <v>200</v>
      </c>
      <c r="AJ29" s="1206">
        <v>5000.8500000000004</v>
      </c>
      <c r="AK29" s="1204">
        <v>4.0199999999999996</v>
      </c>
      <c r="AL29" s="1207"/>
    </row>
    <row r="30" spans="1:42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1171"/>
      <c r="AI30" s="1205"/>
      <c r="AJ30" s="1206"/>
      <c r="AK30" s="1204"/>
      <c r="AL30" s="1207"/>
    </row>
    <row r="31" spans="1:42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1171"/>
      <c r="AI31" s="1205"/>
      <c r="AJ31" s="1206"/>
      <c r="AK31" s="1204"/>
      <c r="AL31" s="1207"/>
    </row>
    <row r="32" spans="1:42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1171"/>
      <c r="AI32" s="1204"/>
      <c r="AJ32" s="1206"/>
      <c r="AK32" s="1204"/>
      <c r="AL32" s="1207"/>
    </row>
    <row r="33" spans="1:38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1171"/>
      <c r="AI33" s="1205"/>
      <c r="AJ33" s="1206"/>
      <c r="AK33" s="1204"/>
      <c r="AL33" s="1207"/>
    </row>
    <row r="34" spans="1:38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1171"/>
      <c r="AI34" s="1204"/>
      <c r="AJ34" s="1206"/>
      <c r="AK34" s="1204"/>
      <c r="AL34" s="1207"/>
    </row>
    <row r="35" spans="1:38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1171"/>
      <c r="AI35" s="1204"/>
      <c r="AJ35" s="1206"/>
      <c r="AK35" s="1204"/>
      <c r="AL35" s="1207"/>
    </row>
    <row r="36" spans="1:38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1171"/>
      <c r="AI36" s="1204"/>
      <c r="AJ36" s="1206"/>
      <c r="AK36" s="1204"/>
      <c r="AL36" s="1207"/>
    </row>
    <row r="37" spans="1:38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0"/>
      <c r="AI37" s="1204"/>
      <c r="AJ37" s="1206"/>
      <c r="AK37" s="1204"/>
      <c r="AL37" s="1207"/>
    </row>
    <row r="38" spans="1:38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0"/>
      <c r="AI38" s="1204" t="s">
        <v>692</v>
      </c>
      <c r="AJ38" s="1206" t="s">
        <v>693</v>
      </c>
      <c r="AK38" s="1204" t="s">
        <v>164</v>
      </c>
      <c r="AL38" s="1207"/>
    </row>
    <row r="39" spans="1:38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0"/>
      <c r="AI39" s="1204">
        <f>SUM(Tabulka60[Částka €])</f>
        <v>4180</v>
      </c>
      <c r="AJ39" s="1206">
        <f>SUM(Tabulka60[Částka Kč])</f>
        <v>115782.75</v>
      </c>
      <c r="AK39" s="1204">
        <f xml:space="preserve"> SUM(Tabulka60[Poplatek €])</f>
        <v>94.83</v>
      </c>
      <c r="AL39" s="1207"/>
    </row>
    <row r="40" spans="1:38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8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  <c r="AI41" s="1204">
        <f>AI39-AN22</f>
        <v>100.40999999999985</v>
      </c>
    </row>
    <row r="42" spans="1:38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  <c r="AI42" s="1204"/>
    </row>
    <row r="43" spans="1:38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8" x14ac:dyDescent="0.25">
      <c r="A44" s="872">
        <f>SUM(A3:A42)</f>
        <v>0</v>
      </c>
      <c r="B44" s="626"/>
      <c r="C44" s="949">
        <f>SUM(C3:C42)</f>
        <v>6105</v>
      </c>
      <c r="D44" s="950">
        <f>SUM(D3:D42)</f>
        <v>0</v>
      </c>
      <c r="E44" s="629">
        <v>0</v>
      </c>
      <c r="F44" s="956">
        <f>SUM(F3:F42)</f>
        <v>1902.07</v>
      </c>
      <c r="G44" s="936">
        <f>SUM(G3:G42)</f>
        <v>185.4</v>
      </c>
      <c r="H44" s="957">
        <f>SUM(H3:H42)</f>
        <v>0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1450.0900000000001</v>
      </c>
      <c r="P44" s="1078" t="s">
        <v>395</v>
      </c>
      <c r="Q44" s="1045">
        <f>SUM(Q3:Q38)</f>
        <v>0</v>
      </c>
      <c r="R44" s="1078" t="s">
        <v>103</v>
      </c>
      <c r="S44" s="1045">
        <f>SUM(S3:S42)</f>
        <v>0</v>
      </c>
      <c r="T44" s="1078" t="s">
        <v>103</v>
      </c>
      <c r="U44" s="1045">
        <f>SUM(U5:U42)</f>
        <v>719.7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11000</v>
      </c>
      <c r="AF44" s="629"/>
      <c r="AG44" s="957">
        <f>SUM(AG3:AG42)</f>
        <v>4680</v>
      </c>
      <c r="AH44" s="614"/>
    </row>
    <row r="45" spans="1:38" x14ac:dyDescent="0.25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N3+N4+N5+N6+N7+N8+N9+N10</f>
        <v>172.73999999999998</v>
      </c>
      <c r="N45" s="1059"/>
      <c r="O45" s="1023">
        <v>100</v>
      </c>
      <c r="P45" s="935" t="s">
        <v>541</v>
      </c>
      <c r="Q45" s="1023">
        <v>0</v>
      </c>
      <c r="R45" s="935" t="str">
        <f>P45</f>
        <v>Srpen</v>
      </c>
      <c r="S45" s="1023">
        <v>0</v>
      </c>
      <c r="T45" s="935" t="str">
        <f>P45</f>
        <v>Srpen</v>
      </c>
      <c r="U45" s="1023">
        <v>100</v>
      </c>
      <c r="V45" s="935" t="str">
        <f>P45</f>
        <v>Srpen</v>
      </c>
      <c r="W45" s="1024">
        <v>0</v>
      </c>
      <c r="X45" s="935" t="str">
        <f>P45</f>
        <v>Srpen</v>
      </c>
      <c r="Y45" s="1024">
        <v>0</v>
      </c>
      <c r="Z45" s="935" t="str">
        <f>P45</f>
        <v>Srpen</v>
      </c>
      <c r="AA45" s="1024">
        <v>0</v>
      </c>
      <c r="AB45" s="935" t="str">
        <f>P45</f>
        <v>Srpen</v>
      </c>
      <c r="AC45" s="1024">
        <v>0</v>
      </c>
      <c r="AD45" s="935" t="str">
        <f>P45</f>
        <v>Srpen</v>
      </c>
      <c r="AE45" s="951"/>
      <c r="AF45" s="635"/>
      <c r="AG45" s="935"/>
      <c r="AH45" s="614"/>
    </row>
    <row r="46" spans="1:38" ht="15.75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>
        <v>400</v>
      </c>
      <c r="P46" s="971" t="s">
        <v>676</v>
      </c>
      <c r="Q46" s="973">
        <f>Q44-Q45</f>
        <v>0</v>
      </c>
      <c r="R46" s="971" t="str">
        <f>P46</f>
        <v xml:space="preserve">Září </v>
      </c>
      <c r="S46" s="973">
        <f>S44-S45</f>
        <v>0</v>
      </c>
      <c r="T46" s="971" t="str">
        <f>P46</f>
        <v xml:space="preserve">Září </v>
      </c>
      <c r="U46" s="1118">
        <v>300</v>
      </c>
      <c r="V46" s="971" t="str">
        <f>P46</f>
        <v xml:space="preserve">Září </v>
      </c>
      <c r="W46" s="974">
        <f>W44-W45</f>
        <v>0</v>
      </c>
      <c r="X46" s="971" t="str">
        <f>P46</f>
        <v xml:space="preserve">Září </v>
      </c>
      <c r="Y46" s="974">
        <f>Y44-Y45</f>
        <v>0</v>
      </c>
      <c r="Z46" s="971" t="str">
        <f>P46</f>
        <v xml:space="preserve">Září </v>
      </c>
      <c r="AA46" s="974">
        <f>AA44-AA45</f>
        <v>0</v>
      </c>
      <c r="AB46" s="971" t="str">
        <f>P46</f>
        <v xml:space="preserve">Září </v>
      </c>
      <c r="AC46" s="1022">
        <f>AC44-AC45</f>
        <v>0</v>
      </c>
      <c r="AD46" s="971" t="str">
        <f>P46</f>
        <v xml:space="preserve">Září </v>
      </c>
      <c r="AE46" s="972"/>
      <c r="AF46" s="970"/>
      <c r="AG46" s="971"/>
      <c r="AH46" s="614"/>
    </row>
    <row r="47" spans="1:38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826">
        <f>O44-O45-O46</f>
        <v>950.09000000000015</v>
      </c>
      <c r="P47" s="610" t="s">
        <v>554</v>
      </c>
      <c r="Q47" s="1030"/>
      <c r="R47" s="1031"/>
      <c r="S47" s="1032" t="s">
        <v>589</v>
      </c>
      <c r="T47" s="610"/>
      <c r="U47" s="1212">
        <f>U44-U45-U46</f>
        <v>319.70000000000005</v>
      </c>
      <c r="V47" s="30" t="s">
        <v>554</v>
      </c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8" x14ac:dyDescent="0.25">
      <c r="Q48" s="1033"/>
      <c r="R48" s="1034"/>
      <c r="S48" s="1035"/>
      <c r="U48" s="1213">
        <f>SUM(U3:U4)</f>
        <v>2500</v>
      </c>
      <c r="V48" s="610" t="s">
        <v>697</v>
      </c>
      <c r="X48" s="610"/>
      <c r="Y48" s="1076">
        <v>0</v>
      </c>
      <c r="Z48" s="935" t="str">
        <f>P45</f>
        <v>Srpen</v>
      </c>
      <c r="AA48" s="1024">
        <v>0</v>
      </c>
      <c r="AB48" s="935" t="str">
        <f>P45</f>
        <v>Srpen</v>
      </c>
      <c r="AC48" s="1024">
        <v>0</v>
      </c>
      <c r="AD48" s="935" t="str">
        <f>P45</f>
        <v>Srpen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 xml:space="preserve">Září </v>
      </c>
      <c r="AA49" s="974">
        <f>AA47-AA48</f>
        <v>0</v>
      </c>
      <c r="AB49" s="971" t="str">
        <f>P46</f>
        <v xml:space="preserve">Září </v>
      </c>
      <c r="AC49" s="974">
        <f>AC47-AC48</f>
        <v>0</v>
      </c>
      <c r="AD49" s="971" t="str">
        <f>P46</f>
        <v xml:space="preserve">Září </v>
      </c>
    </row>
    <row r="50" spans="17:31" ht="15.75" thickTop="1" x14ac:dyDescent="0.25">
      <c r="Q50" s="1033"/>
      <c r="R50" s="1034"/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1033"/>
      <c r="R51" s="1033"/>
      <c r="S51" s="1035"/>
      <c r="V51" s="1215" t="s">
        <v>709</v>
      </c>
      <c r="X51" s="610"/>
      <c r="Y51" s="1076">
        <v>0</v>
      </c>
      <c r="Z51" s="935" t="str">
        <f>P45</f>
        <v>Srpen</v>
      </c>
      <c r="AA51" s="1024">
        <v>0</v>
      </c>
      <c r="AB51" s="935" t="str">
        <f>P45</f>
        <v>Srpen</v>
      </c>
      <c r="AC51" s="1024">
        <v>0</v>
      </c>
      <c r="AD51" s="935" t="str">
        <f>P45</f>
        <v>Srpen</v>
      </c>
    </row>
    <row r="52" spans="17:31" ht="15.75" thickBot="1" x14ac:dyDescent="0.3">
      <c r="Q52" s="1036"/>
      <c r="R52" s="1034"/>
      <c r="S52" s="1035"/>
      <c r="U52" s="929">
        <v>40</v>
      </c>
      <c r="V52" t="s">
        <v>649</v>
      </c>
      <c r="X52" s="610"/>
      <c r="Y52" s="1077">
        <f>Y50-Y51</f>
        <v>0</v>
      </c>
      <c r="Z52" s="971" t="str">
        <f>P46</f>
        <v xml:space="preserve">Září </v>
      </c>
      <c r="AA52" s="974">
        <f>AA50-AA51</f>
        <v>0</v>
      </c>
      <c r="AB52" s="971" t="str">
        <f>P46</f>
        <v xml:space="preserve">Září </v>
      </c>
      <c r="AC52" s="974">
        <f>AC50-AC51</f>
        <v>0</v>
      </c>
      <c r="AD52" s="971" t="str">
        <f>P46</f>
        <v xml:space="preserve">Září </v>
      </c>
    </row>
    <row r="53" spans="17:31" ht="15.75" thickTop="1" x14ac:dyDescent="0.25">
      <c r="Q53" s="1035"/>
      <c r="R53" s="1035"/>
      <c r="S53" s="1035"/>
      <c r="U53" s="929">
        <v>40</v>
      </c>
      <c r="V53" t="s">
        <v>710</v>
      </c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6">
    <mergeCell ref="A1:F1"/>
    <mergeCell ref="G1:H1"/>
    <mergeCell ref="I1:K1"/>
    <mergeCell ref="L1:N1"/>
    <mergeCell ref="O1:P1"/>
    <mergeCell ref="A43:C43"/>
    <mergeCell ref="G43:H43"/>
    <mergeCell ref="I43:K43"/>
    <mergeCell ref="L43:N43"/>
    <mergeCell ref="O43:P43"/>
    <mergeCell ref="AM10:AP10"/>
    <mergeCell ref="AH9:AI9"/>
    <mergeCell ref="Q1:AD1"/>
    <mergeCell ref="AE43:AG43"/>
    <mergeCell ref="S43:T43"/>
    <mergeCell ref="U43:V43"/>
    <mergeCell ref="W43:X43"/>
    <mergeCell ref="Y43:Z43"/>
    <mergeCell ref="AA43:AB43"/>
    <mergeCell ref="AC43:AD43"/>
    <mergeCell ref="AE1:AG1"/>
    <mergeCell ref="AH1:AI1"/>
    <mergeCell ref="AJ1:AK1"/>
    <mergeCell ref="AH4:AI4"/>
    <mergeCell ref="AJ4:AK4"/>
    <mergeCell ref="Q43:R43"/>
  </mergeCells>
  <phoneticPr fontId="30" alignment="center"/>
  <pageMargins left="0.7" right="0.7" top="0.75" bottom="0.75" header="0.3" footer="0.3"/>
  <tableParts count="3">
    <tablePart r:id="rId1"/>
    <tablePart r:id="rId2"/>
    <tablePart r:id="rId3"/>
  </tableParts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9AFAF2-A22B-5B49-9DD1-C0F807CF22EF}">
  <dimension ref="A1:AK115"/>
  <sheetViews>
    <sheetView topLeftCell="N46" zoomScaleNormal="60" zoomScaleSheetLayoutView="100" workbookViewId="0">
      <selection activeCell="U49" sqref="U49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42578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11.42578125" bestFit="1" customWidth="1"/>
    <col min="17" max="17" width="15.28515625" customWidth="1"/>
    <col min="18" max="18" width="14.28515625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2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9.140625" bestFit="1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603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635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604</v>
      </c>
      <c r="R2" s="966" t="s">
        <v>441</v>
      </c>
      <c r="S2" s="967" t="s">
        <v>517</v>
      </c>
      <c r="T2" s="966" t="s">
        <v>442</v>
      </c>
      <c r="U2" s="964" t="s">
        <v>605</v>
      </c>
      <c r="V2" s="966" t="s">
        <v>443</v>
      </c>
      <c r="W2" s="964" t="s">
        <v>553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/>
      <c r="B3" s="979"/>
      <c r="C3" s="945"/>
      <c r="D3" s="619"/>
      <c r="E3" s="979">
        <v>45103</v>
      </c>
      <c r="F3" s="952">
        <v>140</v>
      </c>
      <c r="G3" s="975"/>
      <c r="H3" s="952"/>
      <c r="I3" s="619"/>
      <c r="J3" s="978"/>
      <c r="K3" s="952"/>
      <c r="L3" s="959"/>
      <c r="M3" s="981"/>
      <c r="N3" s="952"/>
      <c r="O3" s="984">
        <f>AG44-AK6-AI3</f>
        <v>212.90000000000009</v>
      </c>
      <c r="P3" s="1161" t="s">
        <v>49</v>
      </c>
      <c r="Q3" s="984">
        <v>100</v>
      </c>
      <c r="R3" s="937">
        <v>45102</v>
      </c>
      <c r="S3" s="984"/>
      <c r="T3" s="937"/>
      <c r="U3" s="984"/>
      <c r="V3" s="937"/>
      <c r="W3" s="989"/>
      <c r="X3" s="937"/>
      <c r="Y3" s="989"/>
      <c r="Z3" s="937"/>
      <c r="AA3" s="984"/>
      <c r="AB3" s="937"/>
      <c r="AC3" s="990"/>
      <c r="AD3" s="937"/>
      <c r="AE3" s="993">
        <v>1000</v>
      </c>
      <c r="AF3" s="997" t="s">
        <v>561</v>
      </c>
      <c r="AG3" s="963">
        <v>400</v>
      </c>
      <c r="AH3" s="299">
        <v>0</v>
      </c>
      <c r="AI3" s="300">
        <v>0</v>
      </c>
      <c r="AJ3" s="301">
        <f>AH6+AJ6</f>
        <v>0</v>
      </c>
      <c r="AK3" s="302">
        <f>AK6+AI6+AI9</f>
        <v>1917.4899999999998</v>
      </c>
    </row>
    <row r="4" spans="1:37" ht="19.5" thickBot="1" x14ac:dyDescent="0.3">
      <c r="A4" s="856"/>
      <c r="B4" s="979"/>
      <c r="C4" s="946"/>
      <c r="D4" s="618"/>
      <c r="E4" s="979">
        <v>45103</v>
      </c>
      <c r="F4" s="953">
        <v>87.05</v>
      </c>
      <c r="G4" s="976"/>
      <c r="H4" s="953"/>
      <c r="I4" s="618"/>
      <c r="J4" s="979"/>
      <c r="K4" s="953"/>
      <c r="L4" s="960"/>
      <c r="M4" s="982"/>
      <c r="N4" s="953"/>
      <c r="O4" s="976"/>
      <c r="P4" s="945">
        <f>AE46+AE44-Q48</f>
        <v>11000</v>
      </c>
      <c r="Q4" s="986">
        <f>S49</f>
        <v>48.49</v>
      </c>
      <c r="R4" s="938" t="s">
        <v>505</v>
      </c>
      <c r="S4" s="986"/>
      <c r="T4" s="938"/>
      <c r="U4" s="986"/>
      <c r="V4" s="938"/>
      <c r="W4" s="990"/>
      <c r="X4" s="938"/>
      <c r="Y4" s="990"/>
      <c r="Z4" s="938"/>
      <c r="AA4" s="986"/>
      <c r="AB4" s="938"/>
      <c r="AC4" s="1051"/>
      <c r="AD4" s="938"/>
      <c r="AE4" s="994">
        <v>4000</v>
      </c>
      <c r="AF4" s="997" t="s">
        <v>561</v>
      </c>
      <c r="AG4" s="963"/>
      <c r="AH4" s="1282" t="s">
        <v>63</v>
      </c>
      <c r="AI4" s="1245"/>
      <c r="AJ4" s="1246" t="s">
        <v>64</v>
      </c>
      <c r="AK4" s="1237"/>
    </row>
    <row r="5" spans="1:37" ht="15.75" x14ac:dyDescent="0.25">
      <c r="A5" s="856"/>
      <c r="B5" s="979"/>
      <c r="C5" s="946"/>
      <c r="D5" s="618">
        <v>80.040000000000006</v>
      </c>
      <c r="E5" s="979">
        <v>45110</v>
      </c>
      <c r="F5" s="953"/>
      <c r="G5" s="976"/>
      <c r="H5" s="953"/>
      <c r="I5" s="618"/>
      <c r="J5" s="979"/>
      <c r="K5" s="953"/>
      <c r="L5" s="960"/>
      <c r="M5" s="982"/>
      <c r="N5" s="963"/>
      <c r="O5" s="976"/>
      <c r="P5" s="946"/>
      <c r="Q5" s="1070">
        <f>T49</f>
        <v>602.75</v>
      </c>
      <c r="R5" s="1068" t="s">
        <v>416</v>
      </c>
      <c r="S5" s="986"/>
      <c r="T5" s="938"/>
      <c r="U5" s="986"/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 t="s">
        <v>433</v>
      </c>
      <c r="AG5" s="963">
        <v>300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856"/>
      <c r="B6" s="979"/>
      <c r="C6" s="946"/>
      <c r="D6" s="618"/>
      <c r="E6" s="979">
        <v>45118</v>
      </c>
      <c r="F6" s="953">
        <v>150.01</v>
      </c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>
        <f>U49</f>
        <v>71.099999999999994</v>
      </c>
      <c r="R6" s="1068" t="s">
        <v>541</v>
      </c>
      <c r="S6" s="986"/>
      <c r="T6" s="938"/>
      <c r="U6" s="986"/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 t="s">
        <v>561</v>
      </c>
      <c r="AG6" s="963">
        <v>400</v>
      </c>
      <c r="AH6" s="612">
        <f>A44+L44</f>
        <v>0</v>
      </c>
      <c r="AI6" s="317">
        <f>D44+H44+K44+N45</f>
        <v>228.01</v>
      </c>
      <c r="AJ6" s="128">
        <f>L45+C44</f>
        <v>0</v>
      </c>
      <c r="AK6" s="129">
        <f>F44+G44+I44+M45+Q45+S44+W44+Y44+AA44+AC44+Y47+Y50+AA47+AA50+AC47+AC50+U44+AC16</f>
        <v>887.09999999999991</v>
      </c>
    </row>
    <row r="7" spans="1:37" ht="19.5" thickBot="1" x14ac:dyDescent="0.3">
      <c r="A7" s="856"/>
      <c r="B7" s="979"/>
      <c r="C7" s="946"/>
      <c r="D7" s="618"/>
      <c r="E7" s="979">
        <v>45122</v>
      </c>
      <c r="F7" s="953">
        <v>150.01</v>
      </c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70"/>
      <c r="R7" s="1068"/>
      <c r="S7" s="986"/>
      <c r="T7" s="938"/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1072">
        <v>1000</v>
      </c>
      <c r="AF7" s="1073" t="s">
        <v>244</v>
      </c>
      <c r="AG7" s="963"/>
      <c r="AH7" s="1295" t="s">
        <v>608</v>
      </c>
      <c r="AI7" s="1282"/>
      <c r="AJ7" s="1282"/>
      <c r="AK7" s="1282"/>
    </row>
    <row r="8" spans="1:37" ht="19.5" thickBot="1" x14ac:dyDescent="0.3">
      <c r="A8" s="856"/>
      <c r="B8" s="979"/>
      <c r="C8" s="946"/>
      <c r="D8" s="618"/>
      <c r="E8" s="979">
        <v>45124</v>
      </c>
      <c r="F8" s="953">
        <v>110.03</v>
      </c>
      <c r="G8" s="976"/>
      <c r="H8" s="953"/>
      <c r="I8" s="618"/>
      <c r="J8" s="979"/>
      <c r="K8" s="953"/>
      <c r="L8" s="960"/>
      <c r="M8" s="982"/>
      <c r="N8" s="963"/>
      <c r="O8" s="976">
        <f>AH10</f>
        <v>237.42999999999995</v>
      </c>
      <c r="P8" s="946" t="s">
        <v>608</v>
      </c>
      <c r="Q8" s="1070"/>
      <c r="R8" s="1068"/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1072">
        <v>23000</v>
      </c>
      <c r="AF8" s="1073" t="s">
        <v>638</v>
      </c>
      <c r="AG8" s="963">
        <v>971</v>
      </c>
      <c r="AH8" s="613" t="s">
        <v>636</v>
      </c>
      <c r="AI8" s="321" t="s">
        <v>637</v>
      </c>
      <c r="AJ8" s="321" t="s">
        <v>641</v>
      </c>
    </row>
    <row r="9" spans="1:37" x14ac:dyDescent="0.25">
      <c r="A9" s="856"/>
      <c r="B9" s="979"/>
      <c r="C9" s="946"/>
      <c r="D9" s="618"/>
      <c r="E9" s="979">
        <v>45129</v>
      </c>
      <c r="F9" s="953">
        <v>150</v>
      </c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/>
      <c r="R9" s="938"/>
      <c r="S9" s="976"/>
      <c r="T9" s="938"/>
      <c r="U9" s="986"/>
      <c r="V9" s="938"/>
      <c r="W9" s="990"/>
      <c r="X9" s="938"/>
      <c r="Y9" s="990"/>
      <c r="Z9" s="938"/>
      <c r="AA9" s="986"/>
      <c r="AB9" s="938"/>
      <c r="AC9" s="990"/>
      <c r="AD9" s="938"/>
      <c r="AE9" s="1143">
        <v>6000</v>
      </c>
      <c r="AF9" s="997" t="s">
        <v>607</v>
      </c>
      <c r="AG9" s="963"/>
      <c r="AH9" s="326">
        <f>AG45</f>
        <v>1424.81</v>
      </c>
      <c r="AI9" s="327">
        <f>E44+S51</f>
        <v>802.38</v>
      </c>
      <c r="AJ9" s="327">
        <v>385</v>
      </c>
    </row>
    <row r="10" spans="1:37" x14ac:dyDescent="0.25">
      <c r="A10" s="1155"/>
      <c r="B10" s="979"/>
      <c r="C10" s="1060"/>
      <c r="D10" s="663">
        <v>148.01</v>
      </c>
      <c r="E10" s="1191">
        <v>45140</v>
      </c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/>
      <c r="R10" s="1068"/>
      <c r="S10" s="1069"/>
      <c r="T10" s="1068"/>
      <c r="U10" s="1070"/>
      <c r="V10" s="1068"/>
      <c r="W10" s="1051"/>
      <c r="X10" s="938"/>
      <c r="Y10" s="991"/>
      <c r="Z10" s="938"/>
      <c r="AA10" s="986"/>
      <c r="AB10" s="1071"/>
      <c r="AC10" s="1050"/>
      <c r="AD10" s="1071"/>
      <c r="AE10" s="994">
        <v>11000</v>
      </c>
      <c r="AF10" s="1073" t="s">
        <v>639</v>
      </c>
      <c r="AG10" s="963">
        <v>453.81</v>
      </c>
      <c r="AH10" s="1296">
        <f>AH9-AI9-AJ9</f>
        <v>237.42999999999995</v>
      </c>
      <c r="AI10" s="1297"/>
      <c r="AJ10" s="1298"/>
    </row>
    <row r="11" spans="1:37" x14ac:dyDescent="0.25">
      <c r="A11" s="1155"/>
      <c r="B11" s="979"/>
      <c r="C11" s="1060"/>
      <c r="D11" s="663">
        <v>80</v>
      </c>
      <c r="E11" s="1192">
        <v>45143</v>
      </c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/>
      <c r="R11" s="1068"/>
      <c r="S11" s="1069"/>
      <c r="T11" s="1068"/>
      <c r="U11" s="1070"/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/>
      <c r="AG11" s="963"/>
      <c r="AH11" s="610"/>
      <c r="AI11" s="1052"/>
    </row>
    <row r="12" spans="1:37" x14ac:dyDescent="0.25">
      <c r="A12" s="1155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/>
      <c r="R12" s="1068"/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144"/>
      <c r="AG12" s="1145"/>
      <c r="AH12" s="610"/>
      <c r="AI12" s="1052"/>
    </row>
    <row r="13" spans="1:37" x14ac:dyDescent="0.25">
      <c r="A13" s="1155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/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963"/>
      <c r="AH13" s="610"/>
      <c r="AI13" s="1052"/>
    </row>
    <row r="14" spans="1:37" x14ac:dyDescent="0.25">
      <c r="A14" s="856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/>
      <c r="X14" s="938"/>
      <c r="Y14" s="990"/>
      <c r="Z14" s="938"/>
      <c r="AA14" s="976"/>
      <c r="AB14" s="938"/>
      <c r="AC14" s="991"/>
      <c r="AD14" s="938"/>
      <c r="AE14" s="994"/>
      <c r="AF14" s="997"/>
      <c r="AG14" s="963"/>
      <c r="AH14" s="610"/>
    </row>
    <row r="15" spans="1:37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986"/>
      <c r="V15" s="93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963"/>
      <c r="AH15" s="610"/>
    </row>
    <row r="16" spans="1:37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963"/>
      <c r="AH16" s="610"/>
    </row>
    <row r="17" spans="1:34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963"/>
      <c r="AH17" s="610"/>
    </row>
    <row r="18" spans="1:34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963"/>
      <c r="AH18" s="610"/>
    </row>
    <row r="19" spans="1:34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963"/>
      <c r="AH19" s="610"/>
    </row>
    <row r="20" spans="1:34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0"/>
      <c r="X20" s="938"/>
      <c r="Y20" s="990"/>
      <c r="Z20" s="938"/>
      <c r="AA20" s="986"/>
      <c r="AB20" s="938"/>
      <c r="AC20" s="991"/>
      <c r="AD20" s="938"/>
      <c r="AE20" s="994"/>
      <c r="AF20" s="997"/>
      <c r="AG20" s="963"/>
      <c r="AH20" s="610"/>
    </row>
    <row r="21" spans="1:34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963"/>
      <c r="AH21" s="610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963"/>
      <c r="AH22" s="610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963"/>
      <c r="AH23" s="610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63"/>
      <c r="AH24" s="610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63"/>
      <c r="AH25" s="610"/>
    </row>
    <row r="26" spans="1:34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63"/>
      <c r="AH26" s="610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63"/>
      <c r="AH27" s="614"/>
    </row>
    <row r="28" spans="1:34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963"/>
      <c r="AH28" s="614"/>
    </row>
    <row r="29" spans="1:34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1143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1143"/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1143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1143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1143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4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1143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4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1159">
        <v>1000</v>
      </c>
      <c r="R42" s="939">
        <v>45102</v>
      </c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4" ht="15.75" thickBot="1" x14ac:dyDescent="0.3">
      <c r="A43" s="1285" t="s">
        <v>102</v>
      </c>
      <c r="B43" s="1284"/>
      <c r="C43" s="1277"/>
      <c r="D43" s="669" t="s">
        <v>103</v>
      </c>
      <c r="E43" s="669" t="s">
        <v>608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4" x14ac:dyDescent="0.25">
      <c r="A44" s="872">
        <f>SUM(A3:A42)</f>
        <v>0</v>
      </c>
      <c r="B44" s="626"/>
      <c r="C44" s="949">
        <f>SUM(C3:C42)</f>
        <v>0</v>
      </c>
      <c r="D44" s="950">
        <f>SUM(D6:D42)</f>
        <v>228.01</v>
      </c>
      <c r="E44" s="629">
        <f>D5</f>
        <v>80.040000000000006</v>
      </c>
      <c r="F44" s="956">
        <f>SUM(F3:F42)</f>
        <v>787.09999999999991</v>
      </c>
      <c r="G44" s="936">
        <f>SUM(G3:G42)</f>
        <v>0</v>
      </c>
      <c r="H44" s="957">
        <f>SUM(H3:H42)</f>
        <v>0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O3+O8</f>
        <v>450.33000000000004</v>
      </c>
      <c r="P44" s="1078" t="s">
        <v>395</v>
      </c>
      <c r="Q44" s="1045">
        <f>SUM(Q3:Q35)</f>
        <v>822.34</v>
      </c>
      <c r="R44" s="1078" t="s">
        <v>103</v>
      </c>
      <c r="S44" s="1045">
        <f>SUM(S3:S42)</f>
        <v>0</v>
      </c>
      <c r="T44" s="1078" t="s">
        <v>103</v>
      </c>
      <c r="U44" s="1045">
        <f>SUM(U3:U42)</f>
        <v>0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AE3+AE4</f>
        <v>5000</v>
      </c>
      <c r="AF44" s="629"/>
      <c r="AG44" s="957">
        <f>SUM(AG3:AG6)</f>
        <v>1100</v>
      </c>
      <c r="AH44" s="614" t="s">
        <v>48</v>
      </c>
    </row>
    <row r="45" spans="1:34" x14ac:dyDescent="0.25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</f>
        <v>0</v>
      </c>
      <c r="N45" s="1059">
        <f>N5+N39+N40+N41+N42+N43</f>
        <v>0</v>
      </c>
      <c r="O45" s="1023">
        <v>100</v>
      </c>
      <c r="P45" s="935" t="s">
        <v>505</v>
      </c>
      <c r="Q45" s="1023">
        <v>100</v>
      </c>
      <c r="R45" s="935" t="str">
        <f>P45</f>
        <v>Červen</v>
      </c>
      <c r="S45" s="1023">
        <v>0</v>
      </c>
      <c r="T45" s="935" t="str">
        <f>P45</f>
        <v>Červen</v>
      </c>
      <c r="U45" s="1023">
        <v>0</v>
      </c>
      <c r="V45" s="935" t="str">
        <f>P45</f>
        <v>Červen</v>
      </c>
      <c r="W45" s="1024">
        <v>0</v>
      </c>
      <c r="X45" s="935" t="str">
        <f>P45</f>
        <v>Červen</v>
      </c>
      <c r="Y45" s="1024">
        <v>0</v>
      </c>
      <c r="Z45" s="935" t="str">
        <f>P45</f>
        <v>Červen</v>
      </c>
      <c r="AA45" s="1024">
        <v>0</v>
      </c>
      <c r="AB45" s="935" t="str">
        <f>P45</f>
        <v>Červen</v>
      </c>
      <c r="AC45" s="1024">
        <v>0</v>
      </c>
      <c r="AD45" s="935" t="str">
        <f>P45</f>
        <v>Červen</v>
      </c>
      <c r="AE45" s="1162">
        <f>AE8+AE10</f>
        <v>34000</v>
      </c>
      <c r="AF45" s="635">
        <f>AE45/AG45</f>
        <v>23.86283083358483</v>
      </c>
      <c r="AG45" s="1160">
        <f>AG8+AG10</f>
        <v>1424.81</v>
      </c>
      <c r="AH45" s="614" t="s">
        <v>608</v>
      </c>
    </row>
    <row r="46" spans="1:34" ht="15.75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1118">
        <v>400</v>
      </c>
      <c r="P46" s="971" t="s">
        <v>416</v>
      </c>
      <c r="Q46" s="1118">
        <v>500</v>
      </c>
      <c r="R46" s="971" t="str">
        <f>P46</f>
        <v>Červenec</v>
      </c>
      <c r="S46" s="973">
        <f>S44-S45</f>
        <v>0</v>
      </c>
      <c r="T46" s="971" t="str">
        <f>P46</f>
        <v>Červenec</v>
      </c>
      <c r="U46" s="973">
        <f>U44-U45</f>
        <v>0</v>
      </c>
      <c r="V46" s="971" t="str">
        <f>P46</f>
        <v>Červenec</v>
      </c>
      <c r="W46" s="974">
        <f>W44-W45</f>
        <v>0</v>
      </c>
      <c r="X46" s="971" t="str">
        <f>P46</f>
        <v>Červenec</v>
      </c>
      <c r="Y46" s="974">
        <f>Y44-Y45</f>
        <v>0</v>
      </c>
      <c r="Z46" s="971" t="str">
        <f>P46</f>
        <v>Červenec</v>
      </c>
      <c r="AA46" s="974">
        <f>AA44-AA45</f>
        <v>0</v>
      </c>
      <c r="AB46" s="971" t="str">
        <f>P46</f>
        <v>Červenec</v>
      </c>
      <c r="AC46" s="1022">
        <f>AC44-AC45</f>
        <v>0</v>
      </c>
      <c r="AD46" s="971" t="str">
        <f>P46</f>
        <v>Červenec</v>
      </c>
      <c r="AE46" s="1163">
        <f>AE9+AE7</f>
        <v>7000</v>
      </c>
      <c r="AF46" s="970"/>
      <c r="AG46" s="971"/>
      <c r="AH46" s="614"/>
    </row>
    <row r="47" spans="1:34" ht="16.5" thickTop="1" thickBot="1" x14ac:dyDescent="0.3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826">
        <f>O44-O45-O46</f>
        <v>-49.669999999999959</v>
      </c>
      <c r="P47" s="610" t="s">
        <v>541</v>
      </c>
      <c r="Q47" s="1187">
        <f>Q44-Q45-Q46</f>
        <v>222.34000000000003</v>
      </c>
      <c r="R47" s="1188" t="s">
        <v>541</v>
      </c>
      <c r="S47" s="1165"/>
      <c r="T47" s="1165"/>
      <c r="U47" s="1032" t="s">
        <v>589</v>
      </c>
      <c r="V47" s="61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4" ht="15.75" thickTop="1" x14ac:dyDescent="0.25">
      <c r="P48" s="610"/>
      <c r="Q48" s="1190">
        <f>SUM(Q36:Q42)</f>
        <v>1000</v>
      </c>
      <c r="R48" s="1164" t="s">
        <v>634</v>
      </c>
      <c r="S48" s="1031" t="s">
        <v>505</v>
      </c>
      <c r="T48" s="1164" t="s">
        <v>416</v>
      </c>
      <c r="U48" s="1185" t="s">
        <v>541</v>
      </c>
      <c r="X48" s="610"/>
      <c r="Y48" s="1076">
        <v>0</v>
      </c>
      <c r="Z48" s="935" t="str">
        <f>P45</f>
        <v>Červen</v>
      </c>
      <c r="AA48" s="1024">
        <v>0</v>
      </c>
      <c r="AB48" s="935" t="str">
        <f>P45</f>
        <v>Červen</v>
      </c>
      <c r="AC48" s="1024">
        <v>0</v>
      </c>
      <c r="AD48" s="935" t="str">
        <f>P45</f>
        <v>Červen</v>
      </c>
    </row>
    <row r="49" spans="15:31" ht="15.75" thickBot="1" x14ac:dyDescent="0.3">
      <c r="O49">
        <v>1730</v>
      </c>
      <c r="P49" s="610" t="s">
        <v>642</v>
      </c>
      <c r="Q49" s="1174"/>
      <c r="R49" s="1042" t="s">
        <v>608</v>
      </c>
      <c r="S49" s="1166">
        <f>SUM(R50:R54)</f>
        <v>48.49</v>
      </c>
      <c r="T49" s="1186">
        <f>SUM(R55:R101)</f>
        <v>602.75</v>
      </c>
      <c r="U49" s="1189">
        <v>71.099999999999994</v>
      </c>
      <c r="X49" s="610"/>
      <c r="Y49" s="1077">
        <f>Y47-Y48</f>
        <v>0</v>
      </c>
      <c r="Z49" s="971" t="str">
        <f>P46</f>
        <v>Červenec</v>
      </c>
      <c r="AA49" s="974">
        <f>AA47-AA48</f>
        <v>0</v>
      </c>
      <c r="AB49" s="971" t="str">
        <f>P46</f>
        <v>Červenec</v>
      </c>
      <c r="AC49" s="974">
        <f>AC47-AC48</f>
        <v>0</v>
      </c>
      <c r="AD49" s="971" t="str">
        <f>P46</f>
        <v>Červenec</v>
      </c>
    </row>
    <row r="50" spans="15:31" ht="15.75" thickTop="1" x14ac:dyDescent="0.25">
      <c r="O50">
        <v>3780</v>
      </c>
      <c r="P50" s="610" t="s">
        <v>643</v>
      </c>
      <c r="Q50" s="1183" t="s">
        <v>633</v>
      </c>
      <c r="R50" s="1166">
        <v>10</v>
      </c>
      <c r="S50" s="1167" t="s">
        <v>640</v>
      </c>
      <c r="T50" s="1184"/>
      <c r="U50" s="614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5:31" x14ac:dyDescent="0.25">
      <c r="O51">
        <v>500</v>
      </c>
      <c r="P51" s="610" t="s">
        <v>644</v>
      </c>
      <c r="Q51" s="1183"/>
      <c r="R51" s="1166">
        <v>9</v>
      </c>
      <c r="S51" s="1168">
        <f>S49+T49+U49</f>
        <v>722.34</v>
      </c>
      <c r="T51" s="1184"/>
      <c r="U51" s="614"/>
      <c r="X51" s="610"/>
      <c r="Y51" s="1076">
        <v>0</v>
      </c>
      <c r="Z51" s="935" t="str">
        <f>P45</f>
        <v>Červen</v>
      </c>
      <c r="AA51" s="1024">
        <v>0</v>
      </c>
      <c r="AB51" s="935" t="str">
        <f>P45</f>
        <v>Červen</v>
      </c>
      <c r="AC51" s="1024">
        <v>0</v>
      </c>
      <c r="AD51" s="935" t="str">
        <f>P45</f>
        <v>Červen</v>
      </c>
    </row>
    <row r="52" spans="15:31" ht="15.75" thickBot="1" x14ac:dyDescent="0.3">
      <c r="O52">
        <v>90</v>
      </c>
      <c r="P52" s="610" t="s">
        <v>645</v>
      </c>
      <c r="Q52" s="1183" t="s">
        <v>609</v>
      </c>
      <c r="R52" s="1166">
        <v>7.5</v>
      </c>
      <c r="S52" s="610"/>
      <c r="T52" s="1164"/>
      <c r="U52" s="614"/>
      <c r="X52" s="610"/>
      <c r="Y52" s="1077">
        <f>Y50-Y51</f>
        <v>0</v>
      </c>
      <c r="Z52" s="971" t="str">
        <f>P46</f>
        <v>Červenec</v>
      </c>
      <c r="AA52" s="974">
        <f>AA50-AA51</f>
        <v>0</v>
      </c>
      <c r="AB52" s="971" t="str">
        <f>P46</f>
        <v>Červenec</v>
      </c>
      <c r="AC52" s="974">
        <f>AC50-AC51</f>
        <v>0</v>
      </c>
      <c r="AD52" s="971" t="str">
        <f>P46</f>
        <v>Červenec</v>
      </c>
    </row>
    <row r="53" spans="15:31" ht="15.75" thickTop="1" x14ac:dyDescent="0.25">
      <c r="O53">
        <v>25</v>
      </c>
      <c r="P53" s="610"/>
      <c r="Q53" s="1183"/>
      <c r="R53" s="1166">
        <v>17</v>
      </c>
      <c r="S53" s="1177">
        <v>40</v>
      </c>
      <c r="T53" s="1164" t="s">
        <v>649</v>
      </c>
      <c r="U53" s="614"/>
    </row>
    <row r="54" spans="15:31" x14ac:dyDescent="0.25">
      <c r="O54">
        <v>1000</v>
      </c>
      <c r="P54" s="610" t="s">
        <v>646</v>
      </c>
      <c r="Q54" s="1183"/>
      <c r="R54" s="1166">
        <v>4.99</v>
      </c>
      <c r="S54" s="1177">
        <v>40</v>
      </c>
      <c r="T54" s="1164" t="s">
        <v>650</v>
      </c>
      <c r="U54" s="614"/>
    </row>
    <row r="55" spans="15:31" x14ac:dyDescent="0.25">
      <c r="P55" s="610"/>
      <c r="Q55" s="1183" t="s">
        <v>631</v>
      </c>
      <c r="R55" s="1166">
        <v>20</v>
      </c>
      <c r="S55" s="1169"/>
      <c r="T55" s="1164"/>
      <c r="U55" s="614"/>
    </row>
    <row r="56" spans="15:31" x14ac:dyDescent="0.25">
      <c r="P56" s="610"/>
      <c r="Q56" s="1183" t="s">
        <v>610</v>
      </c>
      <c r="R56" s="1166">
        <v>7.5</v>
      </c>
      <c r="S56" s="1032"/>
      <c r="T56" s="1164"/>
      <c r="U56" s="614"/>
    </row>
    <row r="57" spans="15:31" x14ac:dyDescent="0.25">
      <c r="P57" s="610"/>
      <c r="Q57" s="1183"/>
      <c r="R57" s="1166">
        <v>11</v>
      </c>
      <c r="S57" s="1032"/>
      <c r="T57" s="1164"/>
      <c r="U57" s="614"/>
    </row>
    <row r="58" spans="15:31" x14ac:dyDescent="0.25">
      <c r="P58" s="610"/>
      <c r="Q58" s="1183" t="s">
        <v>611</v>
      </c>
      <c r="R58" s="1166">
        <v>15</v>
      </c>
      <c r="S58" s="1032"/>
      <c r="T58" s="1164"/>
      <c r="U58" s="614"/>
    </row>
    <row r="59" spans="15:31" x14ac:dyDescent="0.25">
      <c r="P59" s="610"/>
      <c r="Q59" s="1183" t="s">
        <v>612</v>
      </c>
      <c r="R59" s="1166">
        <v>7.5</v>
      </c>
      <c r="S59" s="1032"/>
      <c r="T59" s="1164"/>
      <c r="U59" s="614"/>
    </row>
    <row r="60" spans="15:31" x14ac:dyDescent="0.25">
      <c r="P60" s="610"/>
      <c r="Q60" s="1183"/>
      <c r="R60" s="1166">
        <v>16</v>
      </c>
      <c r="S60" s="1032"/>
      <c r="T60" s="1164"/>
      <c r="U60" s="614"/>
    </row>
    <row r="61" spans="15:31" x14ac:dyDescent="0.25">
      <c r="P61" s="610"/>
      <c r="Q61" s="1183" t="s">
        <v>613</v>
      </c>
      <c r="R61" s="1170">
        <v>11.11</v>
      </c>
      <c r="S61" s="1171"/>
      <c r="T61" s="1184"/>
      <c r="U61" s="614"/>
    </row>
    <row r="62" spans="15:31" x14ac:dyDescent="0.25">
      <c r="P62" s="610"/>
      <c r="Q62" s="1183"/>
      <c r="R62" s="1170">
        <v>6.79</v>
      </c>
      <c r="S62" s="610"/>
      <c r="T62" s="1184"/>
      <c r="U62" s="614"/>
    </row>
    <row r="63" spans="15:31" x14ac:dyDescent="0.25">
      <c r="P63" s="610"/>
      <c r="Q63" s="1183" t="s">
        <v>614</v>
      </c>
      <c r="R63" s="1170">
        <v>12</v>
      </c>
      <c r="S63" s="610"/>
      <c r="T63" s="1184"/>
      <c r="U63" s="614"/>
    </row>
    <row r="64" spans="15:31" x14ac:dyDescent="0.25">
      <c r="P64" s="610"/>
      <c r="Q64" s="1183"/>
      <c r="R64" s="1170">
        <v>8.32</v>
      </c>
      <c r="S64" s="610"/>
      <c r="T64" s="1184"/>
      <c r="U64" s="614"/>
    </row>
    <row r="65" spans="16:21" x14ac:dyDescent="0.25">
      <c r="P65" s="610"/>
      <c r="Q65" s="1183" t="s">
        <v>615</v>
      </c>
      <c r="R65" s="1170">
        <v>20.75</v>
      </c>
      <c r="S65" s="610"/>
      <c r="T65" s="1184"/>
      <c r="U65" s="614"/>
    </row>
    <row r="66" spans="16:21" x14ac:dyDescent="0.25">
      <c r="P66" s="610"/>
      <c r="Q66" s="1183" t="s">
        <v>616</v>
      </c>
      <c r="R66" s="1170">
        <v>16</v>
      </c>
      <c r="S66" s="610"/>
      <c r="T66" s="1184"/>
      <c r="U66" s="614"/>
    </row>
    <row r="67" spans="16:21" x14ac:dyDescent="0.25">
      <c r="P67" s="610"/>
      <c r="Q67" s="1183" t="s">
        <v>617</v>
      </c>
      <c r="R67" s="1170">
        <v>24.14</v>
      </c>
      <c r="S67" s="610"/>
      <c r="T67" s="1184"/>
      <c r="U67" s="614"/>
    </row>
    <row r="68" spans="16:21" x14ac:dyDescent="0.25">
      <c r="P68" s="610"/>
      <c r="Q68" s="1183" t="s">
        <v>618</v>
      </c>
      <c r="R68" s="1170">
        <v>5.96</v>
      </c>
      <c r="S68" s="610"/>
      <c r="T68" s="1184"/>
      <c r="U68" s="614"/>
    </row>
    <row r="69" spans="16:21" x14ac:dyDescent="0.25">
      <c r="P69" s="610"/>
      <c r="Q69" s="1183"/>
      <c r="R69" s="1170">
        <v>14.49</v>
      </c>
      <c r="S69" s="610"/>
      <c r="T69" s="1184"/>
      <c r="U69" s="614"/>
    </row>
    <row r="70" spans="16:21" x14ac:dyDescent="0.25">
      <c r="P70" s="610"/>
      <c r="Q70" s="1183"/>
      <c r="R70" s="1170">
        <v>4.4800000000000004</v>
      </c>
      <c r="S70" s="610"/>
      <c r="T70" s="1184"/>
      <c r="U70" s="614"/>
    </row>
    <row r="71" spans="16:21" x14ac:dyDescent="0.25">
      <c r="P71" s="610"/>
      <c r="Q71" s="1183" t="s">
        <v>619</v>
      </c>
      <c r="R71" s="1170">
        <v>5</v>
      </c>
      <c r="S71" s="610"/>
      <c r="T71" s="1184"/>
      <c r="U71" s="614"/>
    </row>
    <row r="72" spans="16:21" x14ac:dyDescent="0.25">
      <c r="P72" s="610"/>
      <c r="Q72" s="1183"/>
      <c r="R72" s="1170">
        <v>11.4</v>
      </c>
      <c r="S72" s="610"/>
      <c r="T72" s="1184"/>
      <c r="U72" s="614"/>
    </row>
    <row r="73" spans="16:21" x14ac:dyDescent="0.25">
      <c r="P73" s="610"/>
      <c r="Q73" s="1183" t="s">
        <v>620</v>
      </c>
      <c r="R73" s="1170">
        <v>14.2</v>
      </c>
      <c r="S73" s="610"/>
      <c r="T73" s="1184"/>
      <c r="U73" s="614"/>
    </row>
    <row r="74" spans="16:21" x14ac:dyDescent="0.25">
      <c r="P74" s="610"/>
      <c r="Q74" s="1183"/>
      <c r="R74" s="1170">
        <v>7</v>
      </c>
      <c r="S74" s="610"/>
      <c r="T74" s="1184"/>
      <c r="U74" s="614"/>
    </row>
    <row r="75" spans="16:21" x14ac:dyDescent="0.25">
      <c r="P75" s="610"/>
      <c r="Q75" s="1183"/>
      <c r="R75" s="1170">
        <v>4.5</v>
      </c>
      <c r="S75" s="610"/>
      <c r="T75" s="1184"/>
      <c r="U75" s="614"/>
    </row>
    <row r="76" spans="16:21" x14ac:dyDescent="0.25">
      <c r="P76" s="610"/>
      <c r="Q76" s="1183"/>
      <c r="R76" s="1170">
        <v>22.2</v>
      </c>
      <c r="S76" s="610"/>
      <c r="T76" s="1184"/>
      <c r="U76" s="614"/>
    </row>
    <row r="77" spans="16:21" x14ac:dyDescent="0.25">
      <c r="P77" s="610"/>
      <c r="Q77" s="1183"/>
      <c r="R77" s="1170">
        <v>12.05</v>
      </c>
      <c r="S77" s="610"/>
      <c r="T77" s="1184"/>
      <c r="U77" s="614"/>
    </row>
    <row r="78" spans="16:21" x14ac:dyDescent="0.25">
      <c r="P78" s="610"/>
      <c r="Q78" s="1183" t="s">
        <v>621</v>
      </c>
      <c r="R78" s="1170">
        <v>11.5</v>
      </c>
      <c r="S78" s="610"/>
      <c r="T78" s="1184"/>
      <c r="U78" s="614"/>
    </row>
    <row r="79" spans="16:21" x14ac:dyDescent="0.25">
      <c r="P79" s="610"/>
      <c r="Q79" s="1183"/>
      <c r="R79" s="1170">
        <v>31.8</v>
      </c>
      <c r="S79" s="610"/>
      <c r="T79" s="1184"/>
      <c r="U79" s="614"/>
    </row>
    <row r="80" spans="16:21" x14ac:dyDescent="0.25">
      <c r="P80" s="610"/>
      <c r="Q80" s="1183"/>
      <c r="R80" s="1170">
        <v>15.99</v>
      </c>
      <c r="S80" s="610"/>
      <c r="T80" s="1184"/>
      <c r="U80" s="614"/>
    </row>
    <row r="81" spans="16:21" x14ac:dyDescent="0.25">
      <c r="P81" s="610"/>
      <c r="Q81" s="1183" t="s">
        <v>622</v>
      </c>
      <c r="R81" s="1170">
        <v>12.5</v>
      </c>
      <c r="S81" s="610"/>
      <c r="T81" s="1184"/>
      <c r="U81" s="614"/>
    </row>
    <row r="82" spans="16:21" x14ac:dyDescent="0.25">
      <c r="P82" s="610"/>
      <c r="Q82" s="1183" t="s">
        <v>623</v>
      </c>
      <c r="R82" s="1170">
        <v>18.09</v>
      </c>
      <c r="S82" s="610"/>
      <c r="T82" s="1184"/>
      <c r="U82" s="614"/>
    </row>
    <row r="83" spans="16:21" x14ac:dyDescent="0.25">
      <c r="P83" s="610"/>
      <c r="Q83" s="1183" t="s">
        <v>624</v>
      </c>
      <c r="R83" s="1170">
        <v>15.25</v>
      </c>
      <c r="S83" s="610"/>
      <c r="T83" s="1172"/>
      <c r="U83" s="610"/>
    </row>
    <row r="84" spans="16:21" x14ac:dyDescent="0.25">
      <c r="P84" s="610"/>
      <c r="Q84" s="1183"/>
      <c r="R84" s="1170">
        <v>11.99</v>
      </c>
      <c r="S84" s="610"/>
      <c r="T84" s="1172"/>
      <c r="U84" s="610"/>
    </row>
    <row r="85" spans="16:21" x14ac:dyDescent="0.25">
      <c r="P85" s="610"/>
      <c r="Q85" s="1183" t="s">
        <v>625</v>
      </c>
      <c r="R85" s="1170">
        <v>11.5</v>
      </c>
      <c r="S85" s="610"/>
      <c r="T85" s="1172"/>
      <c r="U85" s="610"/>
    </row>
    <row r="86" spans="16:21" x14ac:dyDescent="0.25">
      <c r="P86" s="610"/>
      <c r="Q86" s="1183" t="s">
        <v>626</v>
      </c>
      <c r="R86" s="1170">
        <v>7.03</v>
      </c>
      <c r="S86" s="610"/>
      <c r="T86" s="1172"/>
      <c r="U86" s="610"/>
    </row>
    <row r="87" spans="16:21" x14ac:dyDescent="0.25">
      <c r="P87" s="610"/>
      <c r="Q87" s="1183" t="s">
        <v>627</v>
      </c>
      <c r="R87" s="1170">
        <v>5</v>
      </c>
      <c r="S87" s="610"/>
      <c r="T87" s="1172"/>
      <c r="U87" s="610"/>
    </row>
    <row r="88" spans="16:21" x14ac:dyDescent="0.25">
      <c r="P88" s="610"/>
      <c r="Q88" s="1183"/>
      <c r="R88" s="1170">
        <v>12</v>
      </c>
      <c r="S88" s="610"/>
      <c r="T88" s="1172"/>
      <c r="U88" s="610"/>
    </row>
    <row r="89" spans="16:21" x14ac:dyDescent="0.25">
      <c r="P89" s="610"/>
      <c r="Q89" s="1183"/>
      <c r="R89" s="1170">
        <v>9.85</v>
      </c>
      <c r="S89" s="610"/>
      <c r="T89" s="1172"/>
      <c r="U89" s="610"/>
    </row>
    <row r="90" spans="16:21" x14ac:dyDescent="0.25">
      <c r="P90" s="610"/>
      <c r="Q90" s="1183" t="s">
        <v>628</v>
      </c>
      <c r="R90" s="1170">
        <v>26.29</v>
      </c>
      <c r="S90" s="610"/>
      <c r="T90" s="1172"/>
      <c r="U90" s="610"/>
    </row>
    <row r="91" spans="16:21" x14ac:dyDescent="0.25">
      <c r="P91" s="610"/>
      <c r="Q91" s="1183"/>
      <c r="R91" s="1170">
        <v>7</v>
      </c>
      <c r="S91" s="610"/>
      <c r="T91" s="1172"/>
      <c r="U91" s="610"/>
    </row>
    <row r="92" spans="16:21" x14ac:dyDescent="0.25">
      <c r="P92" s="610"/>
      <c r="Q92" s="1183" t="s">
        <v>629</v>
      </c>
      <c r="R92" s="1170">
        <v>8</v>
      </c>
      <c r="S92" s="610"/>
      <c r="T92" s="1172"/>
      <c r="U92" s="610"/>
    </row>
    <row r="93" spans="16:21" x14ac:dyDescent="0.25">
      <c r="P93" s="610"/>
      <c r="Q93" s="1183"/>
      <c r="R93" s="1170">
        <v>12.6</v>
      </c>
      <c r="S93" s="610"/>
      <c r="T93" s="1172"/>
      <c r="U93" s="610"/>
    </row>
    <row r="94" spans="16:21" x14ac:dyDescent="0.25">
      <c r="P94" s="610"/>
      <c r="Q94" s="1183" t="s">
        <v>630</v>
      </c>
      <c r="R94" s="1170">
        <v>20</v>
      </c>
      <c r="S94" s="610"/>
      <c r="T94" s="1172"/>
      <c r="U94" s="610"/>
    </row>
    <row r="95" spans="16:21" x14ac:dyDescent="0.25">
      <c r="P95" s="610"/>
      <c r="Q95" s="1183"/>
      <c r="R95" s="1170">
        <v>12</v>
      </c>
      <c r="S95" s="610"/>
      <c r="T95" s="1172"/>
      <c r="U95" s="610"/>
    </row>
    <row r="96" spans="16:21" x14ac:dyDescent="0.25">
      <c r="P96" s="610"/>
      <c r="Q96" s="1183" t="s">
        <v>632</v>
      </c>
      <c r="R96" s="1170">
        <v>16.55</v>
      </c>
      <c r="S96" s="610"/>
      <c r="T96" s="1172"/>
      <c r="U96" s="610"/>
    </row>
    <row r="97" spans="16:21" x14ac:dyDescent="0.25">
      <c r="P97" s="610"/>
      <c r="Q97" s="1183"/>
      <c r="R97" s="1170">
        <v>7</v>
      </c>
      <c r="S97" s="610"/>
      <c r="T97" s="1172"/>
      <c r="U97" s="610"/>
    </row>
    <row r="98" spans="16:21" x14ac:dyDescent="0.25">
      <c r="P98" s="610"/>
      <c r="Q98" s="1183" t="s">
        <v>647</v>
      </c>
      <c r="R98" s="1170">
        <v>7.26</v>
      </c>
      <c r="S98" s="610"/>
      <c r="T98" s="1172"/>
      <c r="U98" s="610"/>
    </row>
    <row r="99" spans="16:21" x14ac:dyDescent="0.25">
      <c r="P99" s="610"/>
      <c r="Q99" s="1183"/>
      <c r="R99" s="1170">
        <v>12.3</v>
      </c>
      <c r="S99" s="610"/>
      <c r="T99" s="1172"/>
      <c r="U99" s="610"/>
    </row>
    <row r="100" spans="16:21" x14ac:dyDescent="0.25">
      <c r="P100" s="610"/>
      <c r="Q100" s="1183" t="s">
        <v>648</v>
      </c>
      <c r="R100" s="1170">
        <v>19</v>
      </c>
      <c r="S100" s="610"/>
      <c r="T100" s="1172"/>
      <c r="U100" s="610"/>
    </row>
    <row r="101" spans="16:21" x14ac:dyDescent="0.25">
      <c r="P101" s="610"/>
      <c r="Q101" s="1183"/>
      <c r="R101" s="1170">
        <v>14.86</v>
      </c>
      <c r="S101" s="610"/>
      <c r="T101" s="1172"/>
      <c r="U101" s="610"/>
    </row>
    <row r="102" spans="16:21" x14ac:dyDescent="0.25">
      <c r="P102" s="610"/>
      <c r="Q102" s="1183" t="s">
        <v>656</v>
      </c>
      <c r="R102" s="1170">
        <v>18.100000000000001</v>
      </c>
      <c r="S102" s="610"/>
      <c r="T102" s="1172"/>
      <c r="U102" s="610"/>
    </row>
    <row r="103" spans="16:21" x14ac:dyDescent="0.25">
      <c r="P103" s="610"/>
      <c r="Q103" s="1183" t="s">
        <v>657</v>
      </c>
      <c r="R103" s="1170">
        <v>13</v>
      </c>
      <c r="S103" s="610"/>
      <c r="T103" s="1172"/>
      <c r="U103" s="610"/>
    </row>
    <row r="104" spans="16:21" x14ac:dyDescent="0.25">
      <c r="P104" s="610"/>
      <c r="Q104" s="1183" t="s">
        <v>658</v>
      </c>
      <c r="R104" s="1170">
        <v>30</v>
      </c>
      <c r="S104" s="610"/>
      <c r="T104" s="1172"/>
      <c r="U104" s="610"/>
    </row>
    <row r="105" spans="16:21" x14ac:dyDescent="0.25">
      <c r="P105" s="610"/>
      <c r="Q105" s="1183" t="s">
        <v>659</v>
      </c>
      <c r="R105" s="1170">
        <v>10</v>
      </c>
      <c r="S105" s="610"/>
      <c r="T105" s="1172"/>
      <c r="U105" s="610"/>
    </row>
    <row r="106" spans="16:21" x14ac:dyDescent="0.25">
      <c r="P106" s="610"/>
      <c r="Q106" s="1175"/>
      <c r="R106" s="1170"/>
      <c r="S106" s="610"/>
      <c r="T106" s="1172"/>
      <c r="U106" s="610"/>
    </row>
    <row r="107" spans="16:21" x14ac:dyDescent="0.25">
      <c r="P107" s="610"/>
      <c r="Q107" s="1175"/>
      <c r="R107" s="1170"/>
      <c r="S107" s="610"/>
      <c r="T107" s="1172"/>
      <c r="U107" s="610"/>
    </row>
    <row r="108" spans="16:21" x14ac:dyDescent="0.25">
      <c r="P108" s="610"/>
      <c r="Q108" s="1174"/>
      <c r="R108" s="1170"/>
      <c r="S108" s="610"/>
      <c r="T108" s="1172"/>
      <c r="U108" s="610"/>
    </row>
    <row r="109" spans="16:21" x14ac:dyDescent="0.25">
      <c r="P109" s="610"/>
      <c r="Q109" s="1174"/>
      <c r="R109" s="1170"/>
      <c r="S109" s="610"/>
      <c r="T109" s="1172"/>
      <c r="U109" s="610"/>
    </row>
    <row r="110" spans="16:21" x14ac:dyDescent="0.25">
      <c r="P110" s="610"/>
      <c r="Q110" s="1174"/>
      <c r="R110" s="1170"/>
      <c r="S110" s="610"/>
      <c r="T110" s="1172"/>
      <c r="U110" s="610"/>
    </row>
    <row r="111" spans="16:21" x14ac:dyDescent="0.25">
      <c r="P111" s="610"/>
      <c r="Q111" s="1174"/>
      <c r="R111" s="1170"/>
      <c r="S111" s="610"/>
      <c r="T111" s="1172"/>
      <c r="U111" s="610"/>
    </row>
    <row r="112" spans="16:21" x14ac:dyDescent="0.25">
      <c r="P112" s="610"/>
      <c r="Q112" s="1174"/>
      <c r="R112" s="1170"/>
      <c r="S112" s="610"/>
      <c r="T112" s="1172"/>
      <c r="U112" s="610"/>
    </row>
    <row r="113" spans="16:21" x14ac:dyDescent="0.25">
      <c r="P113" s="610"/>
      <c r="Q113" s="1174"/>
      <c r="R113" s="1170"/>
      <c r="S113" s="610"/>
      <c r="T113" s="1172"/>
      <c r="U113" s="610"/>
    </row>
    <row r="114" spans="16:21" ht="15.75" thickBot="1" x14ac:dyDescent="0.3">
      <c r="P114" s="610"/>
      <c r="Q114" s="1176"/>
      <c r="R114" s="1170"/>
      <c r="S114" s="1165"/>
      <c r="T114" s="1173"/>
      <c r="U114" s="610"/>
    </row>
    <row r="115" spans="16:21" ht="15.75" thickTop="1" x14ac:dyDescent="0.25">
      <c r="Q115" s="610"/>
      <c r="R115" s="610"/>
      <c r="S115" s="610"/>
      <c r="T115" s="610"/>
    </row>
  </sheetData>
  <mergeCells count="26">
    <mergeCell ref="A43:C43"/>
    <mergeCell ref="G43:H43"/>
    <mergeCell ref="I43:K43"/>
    <mergeCell ref="L43:N43"/>
    <mergeCell ref="O43:P43"/>
    <mergeCell ref="Q43:R43"/>
    <mergeCell ref="AE1:AG1"/>
    <mergeCell ref="AH1:AI1"/>
    <mergeCell ref="AJ1:AK1"/>
    <mergeCell ref="AH4:AI4"/>
    <mergeCell ref="AJ4:AK4"/>
    <mergeCell ref="Q1:AD1"/>
    <mergeCell ref="AE43:AG43"/>
    <mergeCell ref="S43:T43"/>
    <mergeCell ref="U43:V43"/>
    <mergeCell ref="W43:X43"/>
    <mergeCell ref="Y43:Z43"/>
    <mergeCell ref="AA43:AB43"/>
    <mergeCell ref="AC43:AD43"/>
    <mergeCell ref="AH7:AK7"/>
    <mergeCell ref="AH10:AJ10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EBC1B1-FE10-6B47-9722-01C4D3B19803}">
  <dimension ref="A1:AK61"/>
  <sheetViews>
    <sheetView topLeftCell="U1" zoomScaleNormal="60" zoomScaleSheetLayoutView="100" workbookViewId="0">
      <selection activeCell="AE15" sqref="AE15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42578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15.285156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601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593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585</v>
      </c>
      <c r="R2" s="966" t="s">
        <v>441</v>
      </c>
      <c r="S2" s="967" t="s">
        <v>517</v>
      </c>
      <c r="T2" s="966" t="s">
        <v>442</v>
      </c>
      <c r="U2" s="964" t="s">
        <v>583</v>
      </c>
      <c r="V2" s="966" t="s">
        <v>443</v>
      </c>
      <c r="W2" s="964" t="s">
        <v>553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/>
      <c r="B3" s="979"/>
      <c r="C3" s="945"/>
      <c r="D3" s="619"/>
      <c r="E3" s="979"/>
      <c r="F3" s="952"/>
      <c r="G3" s="975"/>
      <c r="H3" s="952"/>
      <c r="I3" s="619">
        <v>840</v>
      </c>
      <c r="J3" s="978"/>
      <c r="K3" s="952"/>
      <c r="L3" s="959"/>
      <c r="M3" s="981"/>
      <c r="N3" s="952"/>
      <c r="O3" s="984">
        <f>AG44-AK6-AI3</f>
        <v>600</v>
      </c>
      <c r="P3" s="945"/>
      <c r="Q3" s="984">
        <v>100</v>
      </c>
      <c r="R3" s="937"/>
      <c r="S3" s="984">
        <v>100</v>
      </c>
      <c r="T3" s="937"/>
      <c r="U3" s="984">
        <v>100</v>
      </c>
      <c r="V3" s="937"/>
      <c r="W3" s="989"/>
      <c r="X3" s="937"/>
      <c r="Y3" s="989"/>
      <c r="Z3" s="937"/>
      <c r="AA3" s="984"/>
      <c r="AB3" s="937"/>
      <c r="AC3" s="990"/>
      <c r="AD3" s="937"/>
      <c r="AE3" s="993"/>
      <c r="AF3" s="997" t="s">
        <v>119</v>
      </c>
      <c r="AG3" s="963"/>
      <c r="AH3" s="299">
        <v>0</v>
      </c>
      <c r="AI3" s="300">
        <v>120</v>
      </c>
      <c r="AJ3" s="301">
        <f>AH6+AJ6</f>
        <v>0</v>
      </c>
      <c r="AK3" s="302">
        <f>AK6+AI6</f>
        <v>3450</v>
      </c>
    </row>
    <row r="4" spans="1:37" ht="19.5" thickBot="1" x14ac:dyDescent="0.3">
      <c r="A4" s="856"/>
      <c r="B4" s="979"/>
      <c r="C4" s="946"/>
      <c r="D4" s="618"/>
      <c r="E4" s="979"/>
      <c r="F4" s="953"/>
      <c r="G4" s="976"/>
      <c r="H4" s="953"/>
      <c r="I4" s="618">
        <v>910</v>
      </c>
      <c r="J4" s="979"/>
      <c r="K4" s="953"/>
      <c r="L4" s="960"/>
      <c r="M4" s="982"/>
      <c r="N4" s="953"/>
      <c r="O4" s="976"/>
      <c r="P4" s="946"/>
      <c r="Q4" s="986">
        <v>50</v>
      </c>
      <c r="R4" s="938"/>
      <c r="S4" s="986">
        <v>100</v>
      </c>
      <c r="T4" s="938"/>
      <c r="U4" s="986">
        <v>100</v>
      </c>
      <c r="V4" s="938"/>
      <c r="W4" s="990"/>
      <c r="X4" s="938"/>
      <c r="Y4" s="990"/>
      <c r="Z4" s="938"/>
      <c r="AA4" s="986"/>
      <c r="AB4" s="938"/>
      <c r="AC4" s="1051"/>
      <c r="AD4" s="938"/>
      <c r="AE4" s="994"/>
      <c r="AF4" s="997"/>
      <c r="AG4" s="963">
        <v>20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856"/>
      <c r="B5" s="979"/>
      <c r="C5" s="946"/>
      <c r="D5" s="618"/>
      <c r="E5" s="979"/>
      <c r="F5" s="953"/>
      <c r="G5" s="976"/>
      <c r="H5" s="953"/>
      <c r="I5" s="618"/>
      <c r="J5" s="979"/>
      <c r="K5" s="953"/>
      <c r="L5" s="960"/>
      <c r="M5" s="982"/>
      <c r="N5" s="963"/>
      <c r="O5" s="976"/>
      <c r="P5" s="946"/>
      <c r="Q5" s="1070">
        <v>10</v>
      </c>
      <c r="R5" s="1068"/>
      <c r="S5" s="986">
        <v>100</v>
      </c>
      <c r="T5" s="938"/>
      <c r="U5" s="986">
        <v>100</v>
      </c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/>
      <c r="AG5" s="963">
        <v>1250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856"/>
      <c r="B6" s="979"/>
      <c r="C6" s="946"/>
      <c r="D6" s="618"/>
      <c r="E6" s="979"/>
      <c r="F6" s="953"/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>
        <v>40</v>
      </c>
      <c r="R6" s="1068"/>
      <c r="S6" s="986">
        <v>100</v>
      </c>
      <c r="T6" s="938"/>
      <c r="U6" s="986">
        <v>50</v>
      </c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/>
      <c r="AG6" s="963">
        <v>1000</v>
      </c>
      <c r="AH6" s="612">
        <f>A44+L44</f>
        <v>0</v>
      </c>
      <c r="AI6" s="317">
        <f>D44+H44+K44+N45</f>
        <v>0</v>
      </c>
      <c r="AJ6" s="128">
        <f>L45+C44</f>
        <v>0</v>
      </c>
      <c r="AK6" s="129">
        <f>F44+G44+I44+M45+Q44+S44+W44+Y44+AA44+AC44+Y47+Y50+AA47+AA50+AC47+AC50+U44+AC16</f>
        <v>3450</v>
      </c>
    </row>
    <row r="7" spans="1:37" ht="19.5" thickBot="1" x14ac:dyDescent="0.3">
      <c r="A7" s="856"/>
      <c r="B7" s="979"/>
      <c r="C7" s="946"/>
      <c r="D7" s="618"/>
      <c r="E7" s="979"/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70">
        <v>100</v>
      </c>
      <c r="R7" s="1068"/>
      <c r="S7" s="986">
        <v>100</v>
      </c>
      <c r="T7" s="938"/>
      <c r="U7" s="986">
        <v>100</v>
      </c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/>
      <c r="AG7" s="963">
        <v>300</v>
      </c>
      <c r="AH7" s="613" t="s">
        <v>66</v>
      </c>
      <c r="AI7" s="321" t="s">
        <v>67</v>
      </c>
    </row>
    <row r="8" spans="1:37" x14ac:dyDescent="0.25">
      <c r="A8" s="856"/>
      <c r="B8" s="979"/>
      <c r="C8" s="946"/>
      <c r="D8" s="618"/>
      <c r="E8" s="979"/>
      <c r="F8" s="953"/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1070"/>
      <c r="R8" s="1068" t="s">
        <v>602</v>
      </c>
      <c r="S8" s="976"/>
      <c r="T8" s="938"/>
      <c r="U8" s="986">
        <v>100</v>
      </c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/>
      <c r="AG8" s="963">
        <v>400</v>
      </c>
      <c r="AH8" s="326">
        <v>0</v>
      </c>
      <c r="AI8" s="327">
        <f>E44</f>
        <v>0</v>
      </c>
    </row>
    <row r="9" spans="1:37" ht="15.75" thickBot="1" x14ac:dyDescent="0.3">
      <c r="A9" s="856"/>
      <c r="B9" s="979"/>
      <c r="C9" s="946"/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>
        <v>100</v>
      </c>
      <c r="R9" s="938"/>
      <c r="S9" s="976"/>
      <c r="T9" s="938"/>
      <c r="U9" s="986">
        <v>50</v>
      </c>
      <c r="V9" s="938">
        <v>45081</v>
      </c>
      <c r="W9" s="990"/>
      <c r="X9" s="938"/>
      <c r="Y9" s="990"/>
      <c r="Z9" s="938"/>
      <c r="AA9" s="986"/>
      <c r="AB9" s="938"/>
      <c r="AC9" s="990"/>
      <c r="AD9" s="938"/>
      <c r="AE9" s="1143"/>
      <c r="AF9" s="997"/>
      <c r="AG9" s="963">
        <v>100</v>
      </c>
      <c r="AH9" s="1244">
        <f>AH8-AI8</f>
        <v>0</v>
      </c>
      <c r="AI9" s="1222"/>
    </row>
    <row r="10" spans="1:37" x14ac:dyDescent="0.25">
      <c r="A10" s="1155"/>
      <c r="B10" s="979"/>
      <c r="C10" s="1060"/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/>
      <c r="R10" s="1068" t="s">
        <v>602</v>
      </c>
      <c r="S10" s="1069"/>
      <c r="T10" s="1068"/>
      <c r="U10" s="1070">
        <v>50</v>
      </c>
      <c r="V10" s="1068">
        <v>45081</v>
      </c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/>
      <c r="AG10" s="963">
        <v>500</v>
      </c>
      <c r="AH10" s="610"/>
      <c r="AI10" s="1052"/>
    </row>
    <row r="11" spans="1:37" x14ac:dyDescent="0.25">
      <c r="A11" s="1155"/>
      <c r="B11" s="979"/>
      <c r="C11" s="1060"/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/>
      <c r="R11" s="1068" t="s">
        <v>602</v>
      </c>
      <c r="S11" s="1069"/>
      <c r="T11" s="1068"/>
      <c r="U11" s="1157">
        <v>2500</v>
      </c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>
        <v>45081</v>
      </c>
      <c r="AG11" s="963">
        <v>600</v>
      </c>
      <c r="AH11" s="610"/>
      <c r="AI11" s="1052"/>
    </row>
    <row r="12" spans="1:37" x14ac:dyDescent="0.25">
      <c r="A12" s="1155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/>
      <c r="R12" s="1068" t="s">
        <v>602</v>
      </c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144">
        <v>45081</v>
      </c>
      <c r="AG12" s="1145"/>
      <c r="AH12" s="610"/>
      <c r="AI12" s="1052"/>
    </row>
    <row r="13" spans="1:37" x14ac:dyDescent="0.25">
      <c r="A13" s="1155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>
        <v>50</v>
      </c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>
        <v>4000</v>
      </c>
      <c r="AF13" s="1073"/>
      <c r="AG13" s="963"/>
      <c r="AH13" s="610"/>
      <c r="AI13" s="1052"/>
    </row>
    <row r="14" spans="1:37" x14ac:dyDescent="0.25">
      <c r="A14" s="856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>
        <v>50</v>
      </c>
      <c r="R14" s="938"/>
      <c r="S14" s="976"/>
      <c r="T14" s="938"/>
      <c r="U14" s="986"/>
      <c r="V14" s="938"/>
      <c r="W14" s="990"/>
      <c r="X14" s="938"/>
      <c r="Y14" s="990"/>
      <c r="Z14" s="938"/>
      <c r="AA14" s="976"/>
      <c r="AB14" s="938"/>
      <c r="AC14" s="991"/>
      <c r="AD14" s="938"/>
      <c r="AE14" s="994">
        <v>3000</v>
      </c>
      <c r="AF14" s="997"/>
      <c r="AG14" s="963"/>
      <c r="AH14" s="610"/>
    </row>
    <row r="15" spans="1:37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>
        <v>50</v>
      </c>
      <c r="R15" s="938"/>
      <c r="S15" s="976"/>
      <c r="T15" s="938"/>
      <c r="U15" s="986"/>
      <c r="V15" s="93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>
        <v>2000</v>
      </c>
      <c r="AF15" s="997"/>
      <c r="AG15" s="963"/>
      <c r="AH15" s="610"/>
    </row>
    <row r="16" spans="1:37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1136">
        <v>2500</v>
      </c>
      <c r="R16" s="938"/>
      <c r="S16" s="976"/>
      <c r="T16" s="938"/>
      <c r="U16" s="986"/>
      <c r="V16" s="93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963"/>
      <c r="AH16" s="610"/>
    </row>
    <row r="17" spans="1:34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156">
        <v>3000</v>
      </c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963"/>
      <c r="AH17" s="610"/>
    </row>
    <row r="18" spans="1:34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156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963"/>
      <c r="AH18" s="610"/>
    </row>
    <row r="19" spans="1:34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156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963"/>
      <c r="AH19" s="610"/>
    </row>
    <row r="20" spans="1:34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1136"/>
      <c r="R20" s="938"/>
      <c r="S20" s="976"/>
      <c r="T20" s="938"/>
      <c r="U20" s="986"/>
      <c r="V20" s="938"/>
      <c r="W20" s="990"/>
      <c r="X20" s="938"/>
      <c r="Y20" s="990"/>
      <c r="Z20" s="938"/>
      <c r="AA20" s="986"/>
      <c r="AB20" s="938"/>
      <c r="AC20" s="991"/>
      <c r="AD20" s="938"/>
      <c r="AE20" s="994"/>
      <c r="AF20" s="997"/>
      <c r="AG20" s="963"/>
      <c r="AH20" s="610"/>
    </row>
    <row r="21" spans="1:34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1136"/>
      <c r="R21" s="938"/>
      <c r="S21" s="976"/>
      <c r="T21" s="938"/>
      <c r="U21" s="986"/>
      <c r="V21" s="93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963"/>
      <c r="AH21" s="610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113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963"/>
      <c r="AH22" s="610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113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963"/>
      <c r="AH23" s="610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113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63"/>
      <c r="AH24" s="610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113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63"/>
      <c r="AH25" s="610"/>
    </row>
    <row r="26" spans="1:34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156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63"/>
      <c r="AH26" s="610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113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63"/>
      <c r="AH27" s="614"/>
    </row>
    <row r="28" spans="1:34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963"/>
      <c r="AH28" s="614"/>
    </row>
    <row r="29" spans="1:34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4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4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4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4" x14ac:dyDescent="0.25">
      <c r="A44" s="872">
        <f>SUM(A3:A42)</f>
        <v>0</v>
      </c>
      <c r="B44" s="626"/>
      <c r="C44" s="949">
        <f>SUM(C3:C42)</f>
        <v>0</v>
      </c>
      <c r="D44" s="950">
        <f>SUM(D3:D42)</f>
        <v>0</v>
      </c>
      <c r="E44" s="629">
        <v>0</v>
      </c>
      <c r="F44" s="956">
        <f>SUM(F3:F42)</f>
        <v>0</v>
      </c>
      <c r="G44" s="936">
        <f>SUM(G3:G42)</f>
        <v>0</v>
      </c>
      <c r="H44" s="957">
        <f>SUM(H3:H42)</f>
        <v>0</v>
      </c>
      <c r="I44" s="936">
        <f>SUM(I3:I42)</f>
        <v>1750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600</v>
      </c>
      <c r="P44" s="1078" t="s">
        <v>395</v>
      </c>
      <c r="Q44" s="1045">
        <f>SUM(Q3:Q15)</f>
        <v>550</v>
      </c>
      <c r="R44" s="1078" t="s">
        <v>103</v>
      </c>
      <c r="S44" s="1045">
        <f>SUM(S3:S42)</f>
        <v>500</v>
      </c>
      <c r="T44" s="1078" t="s">
        <v>103</v>
      </c>
      <c r="U44" s="1045">
        <f>SUM(U3:U10)</f>
        <v>650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9000</v>
      </c>
      <c r="AF44" s="629"/>
      <c r="AG44" s="957">
        <f>SUM(AG3:AG42)</f>
        <v>4170</v>
      </c>
      <c r="AH44" s="614"/>
    </row>
    <row r="45" spans="1:34" x14ac:dyDescent="0.25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</f>
        <v>0</v>
      </c>
      <c r="N45" s="1059">
        <f>N5+N39+N40+N41+N42+N43</f>
        <v>0</v>
      </c>
      <c r="O45" s="1023">
        <v>0</v>
      </c>
      <c r="P45" s="935" t="s">
        <v>355</v>
      </c>
      <c r="Q45" s="1023">
        <v>550</v>
      </c>
      <c r="R45" s="935" t="str">
        <f>P45</f>
        <v xml:space="preserve">Květen </v>
      </c>
      <c r="S45" s="1023">
        <v>500</v>
      </c>
      <c r="T45" s="935" t="str">
        <f>P45</f>
        <v xml:space="preserve">Květen </v>
      </c>
      <c r="U45" s="1023">
        <v>650</v>
      </c>
      <c r="V45" s="935" t="str">
        <f>P45</f>
        <v xml:space="preserve">Květen </v>
      </c>
      <c r="W45" s="1024">
        <v>0</v>
      </c>
      <c r="X45" s="935" t="str">
        <f>P45</f>
        <v xml:space="preserve">Květen </v>
      </c>
      <c r="Y45" s="1024">
        <v>0</v>
      </c>
      <c r="Z45" s="935" t="str">
        <f>P45</f>
        <v xml:space="preserve">Květen </v>
      </c>
      <c r="AA45" s="1024">
        <v>0</v>
      </c>
      <c r="AB45" s="935" t="str">
        <f>P45</f>
        <v xml:space="preserve">Květen </v>
      </c>
      <c r="AC45" s="1024">
        <v>0</v>
      </c>
      <c r="AD45" s="935" t="str">
        <f>P45</f>
        <v xml:space="preserve">Květen </v>
      </c>
      <c r="AE45" s="951"/>
      <c r="AF45" s="635"/>
      <c r="AG45" s="935"/>
      <c r="AH45" s="614"/>
    </row>
    <row r="46" spans="1:34" ht="15.75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/>
      <c r="P46" s="971" t="s">
        <v>505</v>
      </c>
      <c r="Q46" s="973">
        <f>Q44-Q45</f>
        <v>0</v>
      </c>
      <c r="R46" s="971" t="str">
        <f>P46</f>
        <v>Červen</v>
      </c>
      <c r="S46" s="973">
        <f>S44-S45</f>
        <v>0</v>
      </c>
      <c r="T46" s="971" t="str">
        <f>P46</f>
        <v>Červen</v>
      </c>
      <c r="U46" s="1158">
        <f>U11</f>
        <v>2500</v>
      </c>
      <c r="V46" s="971" t="str">
        <f>P46</f>
        <v>Červen</v>
      </c>
      <c r="W46" s="974">
        <f>W44-W45</f>
        <v>0</v>
      </c>
      <c r="X46" s="971" t="str">
        <f>P46</f>
        <v>Červen</v>
      </c>
      <c r="Y46" s="974">
        <f>Y44-Y45</f>
        <v>0</v>
      </c>
      <c r="Z46" s="971" t="str">
        <f>P46</f>
        <v>Červen</v>
      </c>
      <c r="AA46" s="974">
        <f>AA44-AA45</f>
        <v>0</v>
      </c>
      <c r="AB46" s="971" t="str">
        <f>P46</f>
        <v>Červen</v>
      </c>
      <c r="AC46" s="1022">
        <f>AC44-AC45</f>
        <v>0</v>
      </c>
      <c r="AD46" s="971" t="str">
        <f>P46</f>
        <v>Červen</v>
      </c>
      <c r="AE46" s="972"/>
      <c r="AF46" s="970"/>
      <c r="AG46" s="971"/>
      <c r="AH46" s="614"/>
    </row>
    <row r="47" spans="1:34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610"/>
      <c r="P47" s="610"/>
      <c r="Q47" s="1042">
        <v>5500</v>
      </c>
      <c r="R47" s="1031"/>
      <c r="S47" s="1032" t="s">
        <v>589</v>
      </c>
      <c r="T47" s="610"/>
      <c r="U47" s="610"/>
      <c r="V47" s="61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4" x14ac:dyDescent="0.25">
      <c r="Q48" s="1033"/>
      <c r="R48" s="1034"/>
      <c r="S48" s="1035"/>
      <c r="X48" s="610"/>
      <c r="Y48" s="1076">
        <v>0</v>
      </c>
      <c r="Z48" s="935" t="str">
        <f>P45</f>
        <v xml:space="preserve">Květen </v>
      </c>
      <c r="AA48" s="1024">
        <v>0</v>
      </c>
      <c r="AB48" s="935" t="str">
        <f>P45</f>
        <v xml:space="preserve">Květen </v>
      </c>
      <c r="AC48" s="1024">
        <v>0</v>
      </c>
      <c r="AD48" s="935" t="str">
        <f>P45</f>
        <v xml:space="preserve">Květen 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>Červen</v>
      </c>
      <c r="AA49" s="974">
        <f>AA47-AA48</f>
        <v>0</v>
      </c>
      <c r="AB49" s="971" t="str">
        <f>P46</f>
        <v>Červen</v>
      </c>
      <c r="AC49" s="974">
        <f>AC47-AC48</f>
        <v>0</v>
      </c>
      <c r="AD49" s="971" t="str">
        <f>P46</f>
        <v>Červen</v>
      </c>
    </row>
    <row r="50" spans="17:31" ht="15.75" thickTop="1" x14ac:dyDescent="0.25">
      <c r="Q50" s="1033"/>
      <c r="R50" s="1034"/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1033"/>
      <c r="R51" s="1033"/>
      <c r="S51" s="1035"/>
      <c r="X51" s="610"/>
      <c r="Y51" s="1076">
        <v>0</v>
      </c>
      <c r="Z51" s="935" t="str">
        <f>P45</f>
        <v xml:space="preserve">Květen </v>
      </c>
      <c r="AA51" s="1024">
        <v>0</v>
      </c>
      <c r="AB51" s="935" t="str">
        <f>P45</f>
        <v xml:space="preserve">Květen </v>
      </c>
      <c r="AC51" s="1024">
        <v>0</v>
      </c>
      <c r="AD51" s="935" t="str">
        <f>P45</f>
        <v xml:space="preserve">Květen </v>
      </c>
    </row>
    <row r="52" spans="17:31" ht="15.75" thickBot="1" x14ac:dyDescent="0.3">
      <c r="Q52" s="1036"/>
      <c r="R52" s="1034"/>
      <c r="S52" s="1035"/>
      <c r="X52" s="610"/>
      <c r="Y52" s="1077">
        <f>Y50-Y51</f>
        <v>0</v>
      </c>
      <c r="Z52" s="971" t="str">
        <f>P46</f>
        <v>Červen</v>
      </c>
      <c r="AA52" s="974">
        <f>AA50-AA51</f>
        <v>0</v>
      </c>
      <c r="AB52" s="971" t="str">
        <f>P46</f>
        <v>Červen</v>
      </c>
      <c r="AC52" s="974">
        <f>AC50-AC51</f>
        <v>0</v>
      </c>
      <c r="AD52" s="971" t="str">
        <f>P46</f>
        <v>Červen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43:C43"/>
    <mergeCell ref="G43:H43"/>
    <mergeCell ref="I43:K43"/>
    <mergeCell ref="L43:N43"/>
    <mergeCell ref="O43:P43"/>
    <mergeCell ref="Q43:R43"/>
    <mergeCell ref="AE1:AG1"/>
    <mergeCell ref="AH1:AI1"/>
    <mergeCell ref="AJ1:AK1"/>
    <mergeCell ref="AH4:AI4"/>
    <mergeCell ref="AJ4:AK4"/>
    <mergeCell ref="AH9:AI9"/>
    <mergeCell ref="Q1:AD1"/>
    <mergeCell ref="AE43:AG43"/>
    <mergeCell ref="S43:T43"/>
    <mergeCell ref="U43:V43"/>
    <mergeCell ref="W43:X43"/>
    <mergeCell ref="Y43:Z43"/>
    <mergeCell ref="AA43:AB43"/>
    <mergeCell ref="AC43:AD43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646883-1B9E-9540-A118-0E2CE30335AC}">
  <dimension ref="A1:AK61"/>
  <sheetViews>
    <sheetView topLeftCell="S1" zoomScaleNormal="60" zoomScaleSheetLayoutView="100" workbookViewId="0">
      <selection activeCell="Q2" sqref="Q2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42578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15.285156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601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593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585</v>
      </c>
      <c r="R2" s="966" t="s">
        <v>441</v>
      </c>
      <c r="S2" s="967" t="s">
        <v>517</v>
      </c>
      <c r="T2" s="966" t="s">
        <v>442</v>
      </c>
      <c r="U2" s="964" t="s">
        <v>583</v>
      </c>
      <c r="V2" s="966" t="s">
        <v>443</v>
      </c>
      <c r="W2" s="964" t="s">
        <v>553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>
        <v>500</v>
      </c>
      <c r="B3" s="979">
        <v>45003</v>
      </c>
      <c r="C3" s="945"/>
      <c r="D3" s="619"/>
      <c r="E3" s="979"/>
      <c r="F3" s="952"/>
      <c r="G3" s="975"/>
      <c r="H3" s="952"/>
      <c r="I3" s="619">
        <v>3.29</v>
      </c>
      <c r="J3" s="978" t="s">
        <v>600</v>
      </c>
      <c r="K3" s="952"/>
      <c r="L3" s="959"/>
      <c r="M3" s="981"/>
      <c r="N3" s="952"/>
      <c r="O3" s="984">
        <f>AG44-AK6-AI3</f>
        <v>301.71000000000004</v>
      </c>
      <c r="P3" s="945"/>
      <c r="Q3" s="984">
        <v>220</v>
      </c>
      <c r="R3" s="937">
        <v>45034</v>
      </c>
      <c r="S3" s="984">
        <v>200</v>
      </c>
      <c r="T3" s="937">
        <v>45034</v>
      </c>
      <c r="U3" s="984">
        <v>100</v>
      </c>
      <c r="V3" s="937">
        <v>45034</v>
      </c>
      <c r="W3" s="989"/>
      <c r="X3" s="937"/>
      <c r="Y3" s="989"/>
      <c r="Z3" s="937"/>
      <c r="AA3" s="984"/>
      <c r="AB3" s="937"/>
      <c r="AC3" s="990"/>
      <c r="AD3" s="937"/>
      <c r="AE3" s="993"/>
      <c r="AF3" s="997" t="s">
        <v>119</v>
      </c>
      <c r="AG3" s="963">
        <f>'01cash'!AI3</f>
        <v>245</v>
      </c>
      <c r="AH3" s="299">
        <v>0</v>
      </c>
      <c r="AI3" s="300">
        <v>120</v>
      </c>
      <c r="AJ3" s="301">
        <f>AH6+AJ6</f>
        <v>5794.76</v>
      </c>
      <c r="AK3" s="302">
        <f>AK6+AI6</f>
        <v>823.29</v>
      </c>
    </row>
    <row r="4" spans="1:37" ht="19.5" thickBot="1" x14ac:dyDescent="0.3">
      <c r="A4" s="856">
        <v>2265.1999999999998</v>
      </c>
      <c r="B4" s="979">
        <v>45004</v>
      </c>
      <c r="C4" s="946"/>
      <c r="D4" s="618"/>
      <c r="E4" s="979"/>
      <c r="F4" s="953"/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>
        <v>100</v>
      </c>
      <c r="R4" s="938"/>
      <c r="S4" s="986">
        <v>100</v>
      </c>
      <c r="T4" s="938">
        <v>45039</v>
      </c>
      <c r="U4" s="986">
        <v>100</v>
      </c>
      <c r="V4" s="938">
        <v>45037</v>
      </c>
      <c r="W4" s="990"/>
      <c r="X4" s="938"/>
      <c r="Y4" s="990"/>
      <c r="Z4" s="938"/>
      <c r="AA4" s="986"/>
      <c r="AB4" s="938"/>
      <c r="AC4" s="1051"/>
      <c r="AD4" s="938"/>
      <c r="AE4" s="994"/>
      <c r="AF4" s="997"/>
      <c r="AG4" s="963">
        <v>500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856"/>
      <c r="B5" s="979">
        <v>45022</v>
      </c>
      <c r="C5" s="946">
        <v>172.01</v>
      </c>
      <c r="D5" s="618"/>
      <c r="E5" s="979"/>
      <c r="F5" s="953"/>
      <c r="G5" s="976"/>
      <c r="H5" s="953"/>
      <c r="I5" s="618"/>
      <c r="J5" s="979"/>
      <c r="K5" s="953"/>
      <c r="L5" s="960"/>
      <c r="M5" s="982"/>
      <c r="N5" s="963"/>
      <c r="O5" s="976"/>
      <c r="P5" s="946"/>
      <c r="Q5" s="1070"/>
      <c r="R5" s="1068"/>
      <c r="S5" s="986"/>
      <c r="T5" s="938"/>
      <c r="U5" s="986"/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>
        <v>45036</v>
      </c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856">
        <v>2460</v>
      </c>
      <c r="B6" s="979">
        <v>45026</v>
      </c>
      <c r="C6" s="946"/>
      <c r="D6" s="618"/>
      <c r="E6" s="979"/>
      <c r="F6" s="953"/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/>
      <c r="R6" s="1068"/>
      <c r="S6" s="986"/>
      <c r="T6" s="938"/>
      <c r="U6" s="986"/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/>
      <c r="AG6" s="963"/>
      <c r="AH6" s="612">
        <f>A44+L44</f>
        <v>5225.2</v>
      </c>
      <c r="AI6" s="317">
        <f>D44+H44+K44+N45</f>
        <v>0</v>
      </c>
      <c r="AJ6" s="128">
        <f>L45+C44</f>
        <v>569.55999999999995</v>
      </c>
      <c r="AK6" s="129">
        <f>F44+G44+I44+M45+Q44+S44+W44+Y44+AA44+AC44+Y47+Y50+AA47+AA50+AC47+AC50+U44+AC16</f>
        <v>823.29</v>
      </c>
    </row>
    <row r="7" spans="1:37" ht="19.5" thickBot="1" x14ac:dyDescent="0.3">
      <c r="A7" s="856"/>
      <c r="B7" s="979">
        <v>45028</v>
      </c>
      <c r="C7" s="946">
        <v>118.9</v>
      </c>
      <c r="D7" s="618"/>
      <c r="E7" s="979"/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70"/>
      <c r="R7" s="1068"/>
      <c r="S7" s="986"/>
      <c r="T7" s="938"/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/>
      <c r="AG7" s="963"/>
      <c r="AH7" s="613" t="s">
        <v>66</v>
      </c>
      <c r="AI7" s="321" t="s">
        <v>67</v>
      </c>
    </row>
    <row r="8" spans="1:37" x14ac:dyDescent="0.25">
      <c r="A8" s="856"/>
      <c r="B8" s="979">
        <v>45035</v>
      </c>
      <c r="C8" s="946">
        <v>129.25</v>
      </c>
      <c r="D8" s="618"/>
      <c r="E8" s="979"/>
      <c r="F8" s="953"/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1070"/>
      <c r="R8" s="1068"/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/>
      <c r="AG8" s="963"/>
      <c r="AH8" s="326">
        <v>0</v>
      </c>
      <c r="AI8" s="327">
        <f>E44</f>
        <v>0</v>
      </c>
    </row>
    <row r="9" spans="1:37" ht="15.75" thickBot="1" x14ac:dyDescent="0.3">
      <c r="A9" s="856"/>
      <c r="B9" s="979">
        <v>45043</v>
      </c>
      <c r="C9" s="946">
        <v>149.4</v>
      </c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/>
      <c r="R9" s="938"/>
      <c r="S9" s="976"/>
      <c r="T9" s="938"/>
      <c r="U9" s="986"/>
      <c r="V9" s="938"/>
      <c r="W9" s="990"/>
      <c r="X9" s="938"/>
      <c r="Y9" s="990"/>
      <c r="Z9" s="938"/>
      <c r="AA9" s="986"/>
      <c r="AB9" s="938"/>
      <c r="AC9" s="990"/>
      <c r="AD9" s="938"/>
      <c r="AE9" s="1143"/>
      <c r="AF9" s="997"/>
      <c r="AG9" s="963"/>
      <c r="AH9" s="1244">
        <f>AH8-AI8</f>
        <v>0</v>
      </c>
      <c r="AI9" s="1222"/>
    </row>
    <row r="10" spans="1:37" x14ac:dyDescent="0.25">
      <c r="A10" s="1155"/>
      <c r="B10" s="979"/>
      <c r="C10" s="1060"/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/>
      <c r="R10" s="1068"/>
      <c r="S10" s="1069"/>
      <c r="T10" s="1068"/>
      <c r="U10" s="1070"/>
      <c r="V10" s="1068"/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/>
      <c r="AG10" s="963"/>
      <c r="AH10" s="610"/>
      <c r="AI10" s="1052"/>
    </row>
    <row r="11" spans="1:37" x14ac:dyDescent="0.25">
      <c r="A11" s="1155"/>
      <c r="B11" s="979"/>
      <c r="C11" s="1060"/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/>
      <c r="R11" s="1068"/>
      <c r="S11" s="1069"/>
      <c r="T11" s="1068"/>
      <c r="U11" s="1070"/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/>
      <c r="AG11" s="963"/>
      <c r="AH11" s="610"/>
      <c r="AI11" s="1052"/>
    </row>
    <row r="12" spans="1:37" x14ac:dyDescent="0.25">
      <c r="A12" s="1155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/>
      <c r="R12" s="1068"/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144"/>
      <c r="AG12" s="1145"/>
      <c r="AH12" s="610"/>
      <c r="AI12" s="1052"/>
    </row>
    <row r="13" spans="1:37" x14ac:dyDescent="0.25">
      <c r="A13" s="1155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/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963"/>
      <c r="AH13" s="610"/>
      <c r="AI13" s="1052"/>
    </row>
    <row r="14" spans="1:37" x14ac:dyDescent="0.25">
      <c r="A14" s="856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/>
      <c r="X14" s="938"/>
      <c r="Y14" s="990"/>
      <c r="Z14" s="938"/>
      <c r="AA14" s="976"/>
      <c r="AB14" s="938"/>
      <c r="AC14" s="991"/>
      <c r="AD14" s="938"/>
      <c r="AE14" s="994"/>
      <c r="AF14" s="997"/>
      <c r="AG14" s="963"/>
      <c r="AH14" s="610"/>
    </row>
    <row r="15" spans="1:37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986"/>
      <c r="V15" s="93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963"/>
      <c r="AH15" s="610"/>
    </row>
    <row r="16" spans="1:37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963"/>
      <c r="AH16" s="610"/>
    </row>
    <row r="17" spans="1:34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963"/>
      <c r="AH17" s="610"/>
    </row>
    <row r="18" spans="1:34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963"/>
      <c r="AH18" s="610"/>
    </row>
    <row r="19" spans="1:34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963"/>
      <c r="AH19" s="610"/>
    </row>
    <row r="20" spans="1:34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0"/>
      <c r="X20" s="938"/>
      <c r="Y20" s="990"/>
      <c r="Z20" s="938"/>
      <c r="AA20" s="986"/>
      <c r="AB20" s="938"/>
      <c r="AC20" s="991"/>
      <c r="AD20" s="938"/>
      <c r="AE20" s="994"/>
      <c r="AF20" s="997"/>
      <c r="AG20" s="963"/>
      <c r="AH20" s="610"/>
    </row>
    <row r="21" spans="1:34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963"/>
      <c r="AH21" s="610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963"/>
      <c r="AH22" s="610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963"/>
      <c r="AH23" s="610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63"/>
      <c r="AH24" s="610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63"/>
      <c r="AH25" s="610"/>
    </row>
    <row r="26" spans="1:34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63"/>
      <c r="AH26" s="610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63"/>
      <c r="AH27" s="614"/>
    </row>
    <row r="28" spans="1:34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963"/>
      <c r="AH28" s="614"/>
    </row>
    <row r="29" spans="1:34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>
        <f>AG70-AK32-AI29</f>
        <v>0</v>
      </c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>
        <f>'03cash22'!AI29</f>
        <v>0</v>
      </c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4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4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4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4" x14ac:dyDescent="0.25">
      <c r="A44" s="872">
        <f>SUM(A3:A42)</f>
        <v>5225.2</v>
      </c>
      <c r="B44" s="626"/>
      <c r="C44" s="949">
        <f>SUM(C3:C42)</f>
        <v>569.55999999999995</v>
      </c>
      <c r="D44" s="950">
        <f>SUM(D3:D42)</f>
        <v>0</v>
      </c>
      <c r="E44" s="629">
        <v>0</v>
      </c>
      <c r="F44" s="956">
        <f>SUM(F3:F42)</f>
        <v>0</v>
      </c>
      <c r="G44" s="936">
        <f>SUM(G3:G42)</f>
        <v>0</v>
      </c>
      <c r="H44" s="957">
        <f>SUM(H3:H42)</f>
        <v>0</v>
      </c>
      <c r="I44" s="936">
        <f>SUM(I3:I42)</f>
        <v>3.29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301.71000000000004</v>
      </c>
      <c r="P44" s="1078" t="s">
        <v>395</v>
      </c>
      <c r="Q44" s="1045">
        <f>SUM(Q3:Q38)</f>
        <v>320</v>
      </c>
      <c r="R44" s="1078" t="s">
        <v>103</v>
      </c>
      <c r="S44" s="1045">
        <f>SUM(S3:S42)</f>
        <v>300</v>
      </c>
      <c r="T44" s="1078" t="s">
        <v>103</v>
      </c>
      <c r="U44" s="1045">
        <f>SUM(U3:U42)</f>
        <v>200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0</v>
      </c>
      <c r="AF44" s="629"/>
      <c r="AG44" s="957">
        <f>SUM(AG3:AG42)</f>
        <v>1245</v>
      </c>
      <c r="AH44" s="614"/>
    </row>
    <row r="45" spans="1:34" x14ac:dyDescent="0.25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</f>
        <v>0</v>
      </c>
      <c r="N45" s="1059">
        <f>N5+N39+N40+N41+N42+N43</f>
        <v>0</v>
      </c>
      <c r="O45" s="1023">
        <v>0</v>
      </c>
      <c r="P45" s="935" t="s">
        <v>492</v>
      </c>
      <c r="Q45" s="1023">
        <v>320</v>
      </c>
      <c r="R45" s="935" t="str">
        <f>P45</f>
        <v>Duben</v>
      </c>
      <c r="S45" s="1023">
        <v>300</v>
      </c>
      <c r="T45" s="935" t="str">
        <f>P45</f>
        <v>Duben</v>
      </c>
      <c r="U45" s="1023">
        <v>200</v>
      </c>
      <c r="V45" s="935" t="str">
        <f>P45</f>
        <v>Duben</v>
      </c>
      <c r="W45" s="1024">
        <v>0</v>
      </c>
      <c r="X45" s="935" t="str">
        <f>P45</f>
        <v>Duben</v>
      </c>
      <c r="Y45" s="1024">
        <v>0</v>
      </c>
      <c r="Z45" s="935" t="str">
        <f>P45</f>
        <v>Duben</v>
      </c>
      <c r="AA45" s="1024">
        <v>0</v>
      </c>
      <c r="AB45" s="935" t="str">
        <f>P45</f>
        <v>Duben</v>
      </c>
      <c r="AC45" s="1024">
        <v>0</v>
      </c>
      <c r="AD45" s="935" t="str">
        <f>P45</f>
        <v>Duben</v>
      </c>
      <c r="AE45" s="951"/>
      <c r="AF45" s="635"/>
      <c r="AG45" s="935"/>
      <c r="AH45" s="614"/>
    </row>
    <row r="46" spans="1:34" ht="15.75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/>
      <c r="P46" s="971" t="s">
        <v>355</v>
      </c>
      <c r="Q46" s="973">
        <f>Q44-Q45</f>
        <v>0</v>
      </c>
      <c r="R46" s="971" t="str">
        <f>P46</f>
        <v xml:space="preserve">Květen </v>
      </c>
      <c r="S46" s="973">
        <f>S44-S45</f>
        <v>0</v>
      </c>
      <c r="T46" s="971" t="str">
        <f>P46</f>
        <v xml:space="preserve">Květen </v>
      </c>
      <c r="U46" s="973">
        <f>U44-U45</f>
        <v>0</v>
      </c>
      <c r="V46" s="971" t="str">
        <f>P46</f>
        <v xml:space="preserve">Květen </v>
      </c>
      <c r="W46" s="974">
        <f>W44-W45</f>
        <v>0</v>
      </c>
      <c r="X46" s="971" t="str">
        <f>P46</f>
        <v xml:space="preserve">Květen </v>
      </c>
      <c r="Y46" s="974">
        <f>Y44-Y45</f>
        <v>0</v>
      </c>
      <c r="Z46" s="971" t="str">
        <f>P46</f>
        <v xml:space="preserve">Květen </v>
      </c>
      <c r="AA46" s="974">
        <f>AA44-AA45</f>
        <v>0</v>
      </c>
      <c r="AB46" s="971" t="str">
        <f>P46</f>
        <v xml:space="preserve">Květen </v>
      </c>
      <c r="AC46" s="1022">
        <f>AC44-AC45</f>
        <v>0</v>
      </c>
      <c r="AD46" s="971" t="str">
        <f>P46</f>
        <v xml:space="preserve">Květen </v>
      </c>
      <c r="AE46" s="972"/>
      <c r="AF46" s="970"/>
      <c r="AG46" s="971"/>
      <c r="AH46" s="614"/>
    </row>
    <row r="47" spans="1:34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610"/>
      <c r="P47" s="610"/>
      <c r="Q47" s="1030"/>
      <c r="R47" s="1031"/>
      <c r="S47" s="1032" t="s">
        <v>589</v>
      </c>
      <c r="T47" s="610"/>
      <c r="U47" s="610"/>
      <c r="V47" s="61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4" x14ac:dyDescent="0.25">
      <c r="Q48" s="1033"/>
      <c r="R48" s="1034"/>
      <c r="S48" s="1035"/>
      <c r="X48" s="610"/>
      <c r="Y48" s="1076">
        <v>0</v>
      </c>
      <c r="Z48" s="935" t="str">
        <f>P45</f>
        <v>Duben</v>
      </c>
      <c r="AA48" s="1024">
        <v>0</v>
      </c>
      <c r="AB48" s="935" t="str">
        <f>P45</f>
        <v>Duben</v>
      </c>
      <c r="AC48" s="1024">
        <v>0</v>
      </c>
      <c r="AD48" s="935" t="str">
        <f>P45</f>
        <v>Duben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 xml:space="preserve">Květen </v>
      </c>
      <c r="AA49" s="974">
        <f>AA47-AA48</f>
        <v>0</v>
      </c>
      <c r="AB49" s="971" t="str">
        <f>P46</f>
        <v xml:space="preserve">Květen </v>
      </c>
      <c r="AC49" s="974">
        <f>AC47-AC48</f>
        <v>0</v>
      </c>
      <c r="AD49" s="971" t="str">
        <f>P46</f>
        <v xml:space="preserve">Květen </v>
      </c>
    </row>
    <row r="50" spans="17:31" ht="15.75" thickTop="1" x14ac:dyDescent="0.25">
      <c r="Q50" s="1033"/>
      <c r="R50" s="1034"/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1033"/>
      <c r="R51" s="1033"/>
      <c r="S51" s="1035"/>
      <c r="X51" s="610"/>
      <c r="Y51" s="1076">
        <v>0</v>
      </c>
      <c r="Z51" s="935" t="str">
        <f>P45</f>
        <v>Duben</v>
      </c>
      <c r="AA51" s="1024">
        <v>0</v>
      </c>
      <c r="AB51" s="935" t="str">
        <f>P45</f>
        <v>Duben</v>
      </c>
      <c r="AC51" s="1024">
        <v>0</v>
      </c>
      <c r="AD51" s="935" t="str">
        <f>P45</f>
        <v>Duben</v>
      </c>
    </row>
    <row r="52" spans="17:31" ht="15.75" thickBot="1" x14ac:dyDescent="0.3">
      <c r="Q52" s="1036"/>
      <c r="R52" s="1034"/>
      <c r="S52" s="1035"/>
      <c r="X52" s="610"/>
      <c r="Y52" s="1077">
        <f>Y50-Y51</f>
        <v>0</v>
      </c>
      <c r="Z52" s="971" t="str">
        <f>P46</f>
        <v xml:space="preserve">Květen </v>
      </c>
      <c r="AA52" s="974">
        <f>AA50-AA51</f>
        <v>0</v>
      </c>
      <c r="AB52" s="971" t="str">
        <f>P46</f>
        <v xml:space="preserve">Květen </v>
      </c>
      <c r="AC52" s="974">
        <f>AC50-AC51</f>
        <v>0</v>
      </c>
      <c r="AD52" s="971" t="str">
        <f>P46</f>
        <v xml:space="preserve">Květen 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1:F1"/>
    <mergeCell ref="G1:H1"/>
    <mergeCell ref="I1:K1"/>
    <mergeCell ref="L1:N1"/>
    <mergeCell ref="O1:P1"/>
    <mergeCell ref="Q43:R43"/>
    <mergeCell ref="AE1:AG1"/>
    <mergeCell ref="AH1:AI1"/>
    <mergeCell ref="AJ1:AK1"/>
    <mergeCell ref="AH4:AI4"/>
    <mergeCell ref="AJ4:AK4"/>
    <mergeCell ref="AH9:AI9"/>
    <mergeCell ref="Q1:AD1"/>
    <mergeCell ref="AE43:AG43"/>
    <mergeCell ref="S43:T43"/>
    <mergeCell ref="U43:V43"/>
    <mergeCell ref="W43:X43"/>
    <mergeCell ref="Y43:Z43"/>
    <mergeCell ref="AA43:AB43"/>
    <mergeCell ref="AC43:AD43"/>
    <mergeCell ref="A43:C43"/>
    <mergeCell ref="G43:H43"/>
    <mergeCell ref="I43:K43"/>
    <mergeCell ref="L43:N43"/>
    <mergeCell ref="O43:P43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77B2A1-F364-2D4C-8D9C-3F7AE0113CEC}">
  <dimension ref="A1:AK61"/>
  <sheetViews>
    <sheetView zoomScaleNormal="60" zoomScaleSheetLayoutView="100" workbookViewId="0">
      <selection activeCell="U6" sqref="U6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42578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15.285156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582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593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585</v>
      </c>
      <c r="R2" s="966" t="s">
        <v>441</v>
      </c>
      <c r="S2" s="967" t="s">
        <v>517</v>
      </c>
      <c r="T2" s="966" t="s">
        <v>442</v>
      </c>
      <c r="U2" s="964" t="s">
        <v>583</v>
      </c>
      <c r="V2" s="966" t="s">
        <v>443</v>
      </c>
      <c r="W2" s="964" t="s">
        <v>584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>
        <v>1609.8</v>
      </c>
      <c r="B3" s="979">
        <v>44930</v>
      </c>
      <c r="C3" s="945"/>
      <c r="D3" s="619">
        <v>143.96</v>
      </c>
      <c r="E3" s="979">
        <v>44939</v>
      </c>
      <c r="F3" s="952"/>
      <c r="G3" s="975"/>
      <c r="H3" s="952"/>
      <c r="I3" s="619"/>
      <c r="J3" s="978"/>
      <c r="K3" s="952"/>
      <c r="L3" s="959"/>
      <c r="M3" s="981" t="s">
        <v>591</v>
      </c>
      <c r="N3" s="952">
        <v>10</v>
      </c>
      <c r="O3" s="984">
        <f>AG44-AK6-AI3</f>
        <v>331.01000000000022</v>
      </c>
      <c r="P3" s="945"/>
      <c r="Q3" s="984">
        <v>10</v>
      </c>
      <c r="R3" s="937">
        <v>44930</v>
      </c>
      <c r="S3" s="984">
        <v>100</v>
      </c>
      <c r="T3" s="937">
        <v>44931</v>
      </c>
      <c r="U3" s="984">
        <v>50</v>
      </c>
      <c r="V3" s="937">
        <v>44930</v>
      </c>
      <c r="W3" s="989">
        <v>50</v>
      </c>
      <c r="X3" s="937">
        <v>44930</v>
      </c>
      <c r="Y3" s="989"/>
      <c r="Z3" s="937"/>
      <c r="AA3" s="984"/>
      <c r="AB3" s="937"/>
      <c r="AC3" s="990"/>
      <c r="AD3" s="937"/>
      <c r="AE3" s="993"/>
      <c r="AF3" s="997" t="s">
        <v>119</v>
      </c>
      <c r="AG3" s="963">
        <f>'08cash04.12-21.12.22'!AI3</f>
        <v>215</v>
      </c>
      <c r="AH3" s="299">
        <v>0</v>
      </c>
      <c r="AI3" s="300">
        <v>245</v>
      </c>
      <c r="AJ3" s="301">
        <f>AH6+AJ6</f>
        <v>1609.8</v>
      </c>
      <c r="AK3" s="302">
        <f>AK6+AI6</f>
        <v>3854.2799999999997</v>
      </c>
    </row>
    <row r="4" spans="1:37" ht="19.5" thickBot="1" x14ac:dyDescent="0.3">
      <c r="A4" s="681"/>
      <c r="B4" s="979"/>
      <c r="C4" s="946"/>
      <c r="D4" s="618">
        <v>50.01</v>
      </c>
      <c r="E4" s="979">
        <v>44942</v>
      </c>
      <c r="F4" s="953"/>
      <c r="G4" s="976"/>
      <c r="H4" s="953"/>
      <c r="I4" s="618"/>
      <c r="J4" s="979"/>
      <c r="K4" s="953"/>
      <c r="L4" s="960"/>
      <c r="M4" s="982" t="s">
        <v>591</v>
      </c>
      <c r="N4" s="953">
        <v>6.99</v>
      </c>
      <c r="O4" s="976"/>
      <c r="P4" s="946"/>
      <c r="Q4" s="986">
        <v>50</v>
      </c>
      <c r="R4" s="938">
        <v>44930</v>
      </c>
      <c r="S4" s="986">
        <v>100</v>
      </c>
      <c r="T4" s="938">
        <v>44936</v>
      </c>
      <c r="U4" s="986">
        <v>50</v>
      </c>
      <c r="V4" s="938">
        <v>44931</v>
      </c>
      <c r="W4" s="990">
        <v>50</v>
      </c>
      <c r="X4" s="938">
        <v>44931</v>
      </c>
      <c r="Y4" s="990"/>
      <c r="Z4" s="938"/>
      <c r="AA4" s="986"/>
      <c r="AB4" s="938"/>
      <c r="AC4" s="1051"/>
      <c r="AD4" s="938"/>
      <c r="AE4" s="994"/>
      <c r="AF4" s="997">
        <v>44931</v>
      </c>
      <c r="AG4" s="963">
        <v>200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81"/>
      <c r="B5" s="979"/>
      <c r="C5" s="946"/>
      <c r="D5" s="618">
        <v>149.32</v>
      </c>
      <c r="E5" s="979">
        <v>44954</v>
      </c>
      <c r="F5" s="953"/>
      <c r="G5" s="976"/>
      <c r="H5" s="953"/>
      <c r="I5" s="618"/>
      <c r="J5" s="979"/>
      <c r="K5" s="953"/>
      <c r="L5" s="960"/>
      <c r="M5" s="982" t="s">
        <v>592</v>
      </c>
      <c r="N5" s="963">
        <v>22</v>
      </c>
      <c r="O5" s="976"/>
      <c r="P5" s="946"/>
      <c r="Q5" s="1070">
        <v>50</v>
      </c>
      <c r="R5" s="1068">
        <v>44932</v>
      </c>
      <c r="S5" s="986">
        <v>100</v>
      </c>
      <c r="T5" s="938">
        <v>44950</v>
      </c>
      <c r="U5" s="986">
        <v>50</v>
      </c>
      <c r="V5" s="938">
        <v>44932</v>
      </c>
      <c r="W5" s="990">
        <v>50</v>
      </c>
      <c r="X5" s="938">
        <v>44936</v>
      </c>
      <c r="Y5" s="990"/>
      <c r="Z5" s="938"/>
      <c r="AA5" s="986"/>
      <c r="AB5" s="938"/>
      <c r="AC5" s="1051"/>
      <c r="AD5" s="938"/>
      <c r="AE5" s="994"/>
      <c r="AF5" s="997">
        <v>44931</v>
      </c>
      <c r="AG5" s="963">
        <v>200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81"/>
      <c r="B6" s="979"/>
      <c r="C6" s="946"/>
      <c r="D6" s="618"/>
      <c r="E6" s="979"/>
      <c r="F6" s="953"/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>
        <v>50</v>
      </c>
      <c r="R6" s="1068">
        <v>44933</v>
      </c>
      <c r="S6" s="986">
        <v>100</v>
      </c>
      <c r="T6" s="938">
        <v>44970</v>
      </c>
      <c r="U6" s="986">
        <v>50</v>
      </c>
      <c r="V6" s="938">
        <v>44936</v>
      </c>
      <c r="W6" s="990">
        <v>50</v>
      </c>
      <c r="X6" s="938">
        <v>44937</v>
      </c>
      <c r="Y6" s="990"/>
      <c r="Z6" s="938"/>
      <c r="AA6" s="986"/>
      <c r="AB6" s="938"/>
      <c r="AC6" s="1050"/>
      <c r="AD6" s="938"/>
      <c r="AE6" s="994"/>
      <c r="AF6" s="997">
        <v>44936</v>
      </c>
      <c r="AG6" s="963">
        <v>500</v>
      </c>
      <c r="AH6" s="612">
        <f>A44+L44</f>
        <v>1609.8</v>
      </c>
      <c r="AI6" s="317">
        <f>D44+H44+K44+N45</f>
        <v>365.28999999999996</v>
      </c>
      <c r="AJ6" s="128">
        <f>L45+C44</f>
        <v>0</v>
      </c>
      <c r="AK6" s="129">
        <f>F44+G44+I44+M45+Q44+S44+W44+Y44+AA44+AC44+Y47+Y50+AA47+AA50+AC47+AC50+U44+AC16</f>
        <v>3488.99</v>
      </c>
    </row>
    <row r="7" spans="1:37" ht="19.5" thickBot="1" x14ac:dyDescent="0.3">
      <c r="A7" s="681"/>
      <c r="B7" s="979"/>
      <c r="C7" s="946"/>
      <c r="D7" s="618"/>
      <c r="E7" s="979"/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70">
        <v>10</v>
      </c>
      <c r="R7" s="1068">
        <v>44935</v>
      </c>
      <c r="S7" s="986"/>
      <c r="T7" s="938"/>
      <c r="U7" s="986">
        <v>50</v>
      </c>
      <c r="V7" s="938">
        <v>44939</v>
      </c>
      <c r="W7" s="990">
        <v>100</v>
      </c>
      <c r="X7" s="938">
        <v>44942</v>
      </c>
      <c r="Y7" s="990"/>
      <c r="Z7" s="938"/>
      <c r="AA7" s="986"/>
      <c r="AB7" s="938"/>
      <c r="AC7" s="990"/>
      <c r="AD7" s="938"/>
      <c r="AE7" s="1143">
        <v>1000</v>
      </c>
      <c r="AF7" s="997">
        <v>44941</v>
      </c>
      <c r="AG7" s="963"/>
      <c r="AH7" s="613" t="s">
        <v>66</v>
      </c>
      <c r="AI7" s="321" t="s">
        <v>67</v>
      </c>
    </row>
    <row r="8" spans="1:37" x14ac:dyDescent="0.25">
      <c r="A8" s="681"/>
      <c r="B8" s="979"/>
      <c r="C8" s="946"/>
      <c r="D8" s="618"/>
      <c r="E8" s="979"/>
      <c r="F8" s="953"/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1070">
        <v>50</v>
      </c>
      <c r="R8" s="1068">
        <v>44936</v>
      </c>
      <c r="S8" s="976"/>
      <c r="T8" s="938"/>
      <c r="U8" s="986">
        <v>50</v>
      </c>
      <c r="V8" s="938">
        <v>44942</v>
      </c>
      <c r="W8" s="990">
        <v>100</v>
      </c>
      <c r="X8" s="938">
        <v>44947</v>
      </c>
      <c r="Y8" s="990"/>
      <c r="Z8" s="938"/>
      <c r="AA8" s="986"/>
      <c r="AB8" s="938"/>
      <c r="AC8" s="990"/>
      <c r="AD8" s="938"/>
      <c r="AE8" s="994"/>
      <c r="AF8" s="997">
        <v>44942</v>
      </c>
      <c r="AG8" s="963">
        <v>200</v>
      </c>
      <c r="AH8" s="326">
        <v>0</v>
      </c>
      <c r="AI8" s="327">
        <f>E44</f>
        <v>0</v>
      </c>
    </row>
    <row r="9" spans="1:37" ht="15.75" thickBot="1" x14ac:dyDescent="0.3">
      <c r="A9" s="681"/>
      <c r="B9" s="979"/>
      <c r="C9" s="946"/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>
        <v>50</v>
      </c>
      <c r="R9" s="938">
        <v>44939</v>
      </c>
      <c r="S9" s="976"/>
      <c r="T9" s="938"/>
      <c r="U9" s="986">
        <v>50</v>
      </c>
      <c r="V9" s="938">
        <v>44944</v>
      </c>
      <c r="W9" s="990">
        <v>10</v>
      </c>
      <c r="X9" s="938">
        <v>44951</v>
      </c>
      <c r="Y9" s="990"/>
      <c r="Z9" s="938"/>
      <c r="AA9" s="986"/>
      <c r="AB9" s="938"/>
      <c r="AC9" s="990"/>
      <c r="AD9" s="938"/>
      <c r="AE9" s="1143">
        <v>4000</v>
      </c>
      <c r="AF9" s="997">
        <v>44942</v>
      </c>
      <c r="AG9" s="963">
        <v>200</v>
      </c>
      <c r="AH9" s="1244">
        <f>AH8-AI8</f>
        <v>0</v>
      </c>
      <c r="AI9" s="1222"/>
    </row>
    <row r="10" spans="1:37" x14ac:dyDescent="0.25">
      <c r="A10" s="659"/>
      <c r="B10" s="979"/>
      <c r="C10" s="1060"/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>
        <v>10</v>
      </c>
      <c r="R10" s="1068">
        <v>44939</v>
      </c>
      <c r="S10" s="1069"/>
      <c r="T10" s="1068"/>
      <c r="U10" s="1070">
        <v>50</v>
      </c>
      <c r="V10" s="1068"/>
      <c r="W10" s="1051">
        <v>90</v>
      </c>
      <c r="X10" s="938">
        <v>44956</v>
      </c>
      <c r="Y10" s="991"/>
      <c r="Z10" s="938"/>
      <c r="AA10" s="986"/>
      <c r="AB10" s="1071"/>
      <c r="AC10" s="1050"/>
      <c r="AD10" s="1071"/>
      <c r="AE10" s="994"/>
      <c r="AF10" s="1073">
        <v>44942</v>
      </c>
      <c r="AG10" s="963">
        <v>200</v>
      </c>
      <c r="AH10" s="610"/>
      <c r="AI10" s="1052"/>
    </row>
    <row r="11" spans="1:37" x14ac:dyDescent="0.25">
      <c r="A11" s="659"/>
      <c r="B11" s="979"/>
      <c r="C11" s="1060"/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>
        <v>50</v>
      </c>
      <c r="R11" s="1068">
        <v>44942</v>
      </c>
      <c r="S11" s="1069"/>
      <c r="T11" s="1068"/>
      <c r="U11" s="1070">
        <v>50</v>
      </c>
      <c r="V11" s="1068">
        <v>44950</v>
      </c>
      <c r="W11" s="1051">
        <v>100</v>
      </c>
      <c r="X11" s="938">
        <v>44960</v>
      </c>
      <c r="Y11" s="991"/>
      <c r="Z11" s="938"/>
      <c r="AA11" s="986"/>
      <c r="AB11" s="1071"/>
      <c r="AC11" s="1050"/>
      <c r="AD11" s="1071"/>
      <c r="AE11" s="994"/>
      <c r="AF11" s="1073">
        <v>44949</v>
      </c>
      <c r="AG11" s="963">
        <v>50</v>
      </c>
      <c r="AH11" s="610"/>
      <c r="AI11" s="1052"/>
    </row>
    <row r="12" spans="1:37" x14ac:dyDescent="0.25">
      <c r="A12" s="659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>
        <v>25</v>
      </c>
      <c r="R12" s="1068">
        <v>44944</v>
      </c>
      <c r="S12" s="1069"/>
      <c r="T12" s="1068"/>
      <c r="U12" s="1070">
        <v>50</v>
      </c>
      <c r="V12" s="1068">
        <v>44956</v>
      </c>
      <c r="W12" s="1050">
        <v>20</v>
      </c>
      <c r="X12" s="938">
        <v>44964</v>
      </c>
      <c r="Y12" s="991"/>
      <c r="Z12" s="938"/>
      <c r="AA12" s="986"/>
      <c r="AB12" s="1071"/>
      <c r="AC12" s="1050"/>
      <c r="AD12" s="1071"/>
      <c r="AE12" s="994"/>
      <c r="AF12" s="1144">
        <v>44950</v>
      </c>
      <c r="AG12" s="1145">
        <v>700</v>
      </c>
      <c r="AH12" s="610"/>
      <c r="AI12" s="1052"/>
    </row>
    <row r="13" spans="1:37" x14ac:dyDescent="0.25">
      <c r="A13" s="659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>
        <v>100</v>
      </c>
      <c r="R13" s="1068">
        <v>44946</v>
      </c>
      <c r="S13" s="1069"/>
      <c r="T13" s="1068"/>
      <c r="U13" s="1070">
        <v>50</v>
      </c>
      <c r="V13" s="1068">
        <v>44957</v>
      </c>
      <c r="W13" s="1050">
        <v>20</v>
      </c>
      <c r="X13" s="938">
        <v>44966</v>
      </c>
      <c r="Y13" s="991"/>
      <c r="Z13" s="938"/>
      <c r="AA13" s="986"/>
      <c r="AB13" s="1071"/>
      <c r="AC13" s="1050"/>
      <c r="AD13" s="1071"/>
      <c r="AE13" s="1072"/>
      <c r="AF13" s="1073">
        <v>44959</v>
      </c>
      <c r="AG13" s="963">
        <v>600</v>
      </c>
      <c r="AH13" s="610"/>
      <c r="AI13" s="1052"/>
    </row>
    <row r="14" spans="1:37" x14ac:dyDescent="0.25">
      <c r="A14" s="681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>
        <v>10</v>
      </c>
      <c r="R14" s="938">
        <v>44950</v>
      </c>
      <c r="S14" s="976"/>
      <c r="T14" s="938"/>
      <c r="U14" s="986">
        <v>50</v>
      </c>
      <c r="V14" s="938">
        <v>44959</v>
      </c>
      <c r="W14" s="990">
        <v>60</v>
      </c>
      <c r="X14" s="938">
        <v>44970</v>
      </c>
      <c r="Y14" s="990"/>
      <c r="Z14" s="938"/>
      <c r="AA14" s="976"/>
      <c r="AB14" s="938"/>
      <c r="AC14" s="991"/>
      <c r="AD14" s="938"/>
      <c r="AE14" s="994"/>
      <c r="AF14" s="997">
        <v>44977</v>
      </c>
      <c r="AG14" s="963">
        <v>500</v>
      </c>
      <c r="AH14" s="610"/>
    </row>
    <row r="15" spans="1:37" ht="18.75" x14ac:dyDescent="0.25">
      <c r="A15" s="681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>
        <v>10</v>
      </c>
      <c r="R15" s="938">
        <v>44951</v>
      </c>
      <c r="S15" s="976"/>
      <c r="T15" s="938"/>
      <c r="U15" s="986">
        <v>55</v>
      </c>
      <c r="V15" s="938">
        <v>44967</v>
      </c>
      <c r="W15" s="990">
        <v>20</v>
      </c>
      <c r="X15" s="938">
        <v>44972</v>
      </c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963">
        <v>500</v>
      </c>
      <c r="AH15" s="610"/>
    </row>
    <row r="16" spans="1:37" x14ac:dyDescent="0.25">
      <c r="A16" s="681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>
        <v>20</v>
      </c>
      <c r="R16" s="938">
        <v>44951</v>
      </c>
      <c r="S16" s="976"/>
      <c r="T16" s="938"/>
      <c r="U16" s="986">
        <v>45</v>
      </c>
      <c r="V16" s="938">
        <v>44970</v>
      </c>
      <c r="W16" s="990">
        <v>80</v>
      </c>
      <c r="X16" s="938">
        <v>44974</v>
      </c>
      <c r="Y16" s="990"/>
      <c r="Z16" s="938"/>
      <c r="AA16" s="986"/>
      <c r="AB16" s="938"/>
      <c r="AC16" s="990"/>
      <c r="AD16" s="938"/>
      <c r="AE16" s="994"/>
      <c r="AF16" s="997"/>
      <c r="AG16" s="963"/>
      <c r="AH16" s="610"/>
    </row>
    <row r="17" spans="1:34" x14ac:dyDescent="0.25">
      <c r="A17" s="659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>
        <v>1</v>
      </c>
      <c r="R17" s="1068">
        <v>44951</v>
      </c>
      <c r="S17" s="1069"/>
      <c r="T17" s="1068"/>
      <c r="U17" s="1070">
        <v>50</v>
      </c>
      <c r="V17" s="1068">
        <v>44975</v>
      </c>
      <c r="W17" s="1051">
        <v>20</v>
      </c>
      <c r="X17" s="938">
        <v>44978</v>
      </c>
      <c r="Y17" s="991"/>
      <c r="Z17" s="938"/>
      <c r="AA17" s="986"/>
      <c r="AB17" s="1071"/>
      <c r="AC17" s="1050"/>
      <c r="AD17" s="1071"/>
      <c r="AE17" s="1072"/>
      <c r="AF17" s="1073"/>
      <c r="AG17" s="963"/>
      <c r="AH17" s="610"/>
    </row>
    <row r="18" spans="1:34" x14ac:dyDescent="0.25">
      <c r="A18" s="659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>
        <v>50</v>
      </c>
      <c r="R18" s="1068">
        <v>44953</v>
      </c>
      <c r="S18" s="1069"/>
      <c r="T18" s="1068"/>
      <c r="U18" s="1070">
        <v>20</v>
      </c>
      <c r="V18" s="1068">
        <v>44977</v>
      </c>
      <c r="W18" s="1051">
        <v>80</v>
      </c>
      <c r="X18" s="938">
        <v>44979</v>
      </c>
      <c r="Y18" s="991"/>
      <c r="Z18" s="938"/>
      <c r="AA18" s="986"/>
      <c r="AB18" s="1071"/>
      <c r="AC18" s="1050"/>
      <c r="AD18" s="1071"/>
      <c r="AE18" s="1072"/>
      <c r="AF18" s="1073"/>
      <c r="AG18" s="963"/>
      <c r="AH18" s="610"/>
    </row>
    <row r="19" spans="1:34" x14ac:dyDescent="0.25">
      <c r="A19" s="659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>
        <v>50</v>
      </c>
      <c r="R19" s="1068" t="s">
        <v>590</v>
      </c>
      <c r="S19" s="1069"/>
      <c r="T19" s="1068"/>
      <c r="U19" s="1070">
        <v>30</v>
      </c>
      <c r="V19" s="1068">
        <v>44978</v>
      </c>
      <c r="W19" s="1051">
        <v>50</v>
      </c>
      <c r="X19" s="938">
        <v>44984</v>
      </c>
      <c r="Y19" s="991"/>
      <c r="Z19" s="938"/>
      <c r="AA19" s="986"/>
      <c r="AB19" s="1071"/>
      <c r="AC19" s="1050"/>
      <c r="AD19" s="1071"/>
      <c r="AE19" s="1072"/>
      <c r="AF19" s="1073"/>
      <c r="AG19" s="963"/>
      <c r="AH19" s="610"/>
    </row>
    <row r="20" spans="1:34" x14ac:dyDescent="0.25">
      <c r="A20" s="681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>
        <v>10</v>
      </c>
      <c r="R20" s="938">
        <v>44956</v>
      </c>
      <c r="S20" s="976"/>
      <c r="T20" s="938"/>
      <c r="U20" s="986">
        <v>50</v>
      </c>
      <c r="V20" s="938">
        <v>44981</v>
      </c>
      <c r="W20" s="990">
        <v>50</v>
      </c>
      <c r="X20" s="938">
        <v>44985</v>
      </c>
      <c r="Y20" s="990"/>
      <c r="Z20" s="938"/>
      <c r="AA20" s="986"/>
      <c r="AB20" s="938"/>
      <c r="AC20" s="991"/>
      <c r="AD20" s="938"/>
      <c r="AE20" s="994"/>
      <c r="AF20" s="997"/>
      <c r="AG20" s="963"/>
      <c r="AH20" s="610"/>
    </row>
    <row r="21" spans="1:34" x14ac:dyDescent="0.25">
      <c r="A21" s="681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>
        <v>20</v>
      </c>
      <c r="R21" s="938">
        <v>44959</v>
      </c>
      <c r="S21" s="976"/>
      <c r="T21" s="938"/>
      <c r="U21" s="986">
        <v>50</v>
      </c>
      <c r="V21" s="938">
        <v>44985</v>
      </c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963"/>
      <c r="AH21" s="610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>
        <v>20</v>
      </c>
      <c r="R22" s="938">
        <v>44960</v>
      </c>
      <c r="S22" s="976"/>
      <c r="T22" s="938"/>
      <c r="U22" s="986">
        <v>50</v>
      </c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963"/>
      <c r="AH22" s="610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>
        <v>20</v>
      </c>
      <c r="R23" s="938">
        <v>44961</v>
      </c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963"/>
      <c r="AH23" s="610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>
        <v>20</v>
      </c>
      <c r="R24" s="938">
        <v>44964</v>
      </c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63"/>
      <c r="AH24" s="610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>
        <v>20</v>
      </c>
      <c r="R25" s="938">
        <v>44967</v>
      </c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63"/>
      <c r="AH25" s="610"/>
    </row>
    <row r="26" spans="1:34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>
        <v>20</v>
      </c>
      <c r="R26" s="1068">
        <v>44970</v>
      </c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63"/>
      <c r="AH26" s="610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>
        <v>50</v>
      </c>
      <c r="R27" s="938">
        <v>44971</v>
      </c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63"/>
      <c r="AH27" s="614"/>
    </row>
    <row r="28" spans="1:34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>
        <v>10</v>
      </c>
      <c r="R28" s="938">
        <v>44975</v>
      </c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963"/>
      <c r="AH28" s="614"/>
    </row>
    <row r="29" spans="1:34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>
        <f>AG70-AK32-AI29</f>
        <v>0</v>
      </c>
      <c r="P29" s="1060"/>
      <c r="Q29" s="1070">
        <v>50</v>
      </c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>
        <f>'03cash22'!AI29</f>
        <v>0</v>
      </c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>
        <v>40</v>
      </c>
      <c r="R30" s="938">
        <v>44977</v>
      </c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>
        <v>10</v>
      </c>
      <c r="R31" s="938">
        <v>44978</v>
      </c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>
        <v>20</v>
      </c>
      <c r="R32" s="938">
        <v>44979</v>
      </c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>
        <v>10</v>
      </c>
      <c r="R33" s="938">
        <v>44980</v>
      </c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>
        <v>30</v>
      </c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>
        <v>50</v>
      </c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>
        <v>60</v>
      </c>
      <c r="R36" s="938">
        <v>44985</v>
      </c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>
        <v>10</v>
      </c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>
        <v>34</v>
      </c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>
        <v>1500</v>
      </c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>
        <v>1500</v>
      </c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4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>
        <v>1000</v>
      </c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4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>
        <v>3500</v>
      </c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4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4" x14ac:dyDescent="0.25">
      <c r="A44" s="872">
        <f>SUM(A3:A42)</f>
        <v>1609.8</v>
      </c>
      <c r="B44" s="626"/>
      <c r="C44" s="949">
        <f>SUM(C3:C42)</f>
        <v>0</v>
      </c>
      <c r="D44" s="950">
        <f>SUM(D3:D42)</f>
        <v>343.28999999999996</v>
      </c>
      <c r="E44" s="629">
        <v>0</v>
      </c>
      <c r="F44" s="956">
        <f>SUM(F3:F42)</f>
        <v>0</v>
      </c>
      <c r="G44" s="936">
        <f>SUM(G3:G42)</f>
        <v>0</v>
      </c>
      <c r="H44" s="957">
        <f>SUM(H3:H42)</f>
        <v>0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331.01000000000022</v>
      </c>
      <c r="P44" s="1078" t="s">
        <v>395</v>
      </c>
      <c r="Q44" s="1045">
        <f>SUM(Q3:Q38)</f>
        <v>1100</v>
      </c>
      <c r="R44" s="1078" t="s">
        <v>103</v>
      </c>
      <c r="S44" s="1045">
        <f>SUM(S3:S42)</f>
        <v>400</v>
      </c>
      <c r="T44" s="1078" t="s">
        <v>103</v>
      </c>
      <c r="U44" s="1045">
        <f>SUM(U3:U42)</f>
        <v>950</v>
      </c>
      <c r="V44" s="1078" t="s">
        <v>103</v>
      </c>
      <c r="W44" s="1045">
        <f>SUM(W3:W42)</f>
        <v>1000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5000</v>
      </c>
      <c r="AF44" s="629"/>
      <c r="AG44" s="957">
        <f>SUM(AG3:AG42)</f>
        <v>4065</v>
      </c>
      <c r="AH44" s="614"/>
    </row>
    <row r="45" spans="1:34" x14ac:dyDescent="0.25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</f>
        <v>38.99</v>
      </c>
      <c r="N45" s="1059">
        <f>N5+N39+N40+N41+N42+N43</f>
        <v>22</v>
      </c>
      <c r="O45" s="1023">
        <v>300</v>
      </c>
      <c r="P45" s="935" t="s">
        <v>587</v>
      </c>
      <c r="Q45" s="1023">
        <v>600</v>
      </c>
      <c r="R45" s="935" t="s">
        <v>587</v>
      </c>
      <c r="S45" s="1023">
        <v>300</v>
      </c>
      <c r="T45" s="935" t="str">
        <f>P45</f>
        <v xml:space="preserve">Leden </v>
      </c>
      <c r="U45" s="1023">
        <v>500</v>
      </c>
      <c r="V45" s="935" t="s">
        <v>587</v>
      </c>
      <c r="W45" s="1024">
        <v>500</v>
      </c>
      <c r="X45" s="935" t="s">
        <v>587</v>
      </c>
      <c r="Y45" s="1024">
        <v>0</v>
      </c>
      <c r="Z45" s="935" t="s">
        <v>587</v>
      </c>
      <c r="AA45" s="1024">
        <v>0</v>
      </c>
      <c r="AB45" s="935" t="s">
        <v>587</v>
      </c>
      <c r="AC45" s="1024">
        <v>0</v>
      </c>
      <c r="AD45" s="935" t="s">
        <v>587</v>
      </c>
      <c r="AE45" s="951"/>
      <c r="AF45" s="635"/>
      <c r="AG45" s="935"/>
      <c r="AH45" s="614"/>
    </row>
    <row r="46" spans="1:34" ht="15.75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>
        <f>O44-O45</f>
        <v>31.010000000000218</v>
      </c>
      <c r="P46" s="971" t="s">
        <v>588</v>
      </c>
      <c r="Q46" s="973">
        <f>Q44-Q45</f>
        <v>500</v>
      </c>
      <c r="R46" s="971" t="s">
        <v>588</v>
      </c>
      <c r="S46" s="973">
        <f>S44-S45</f>
        <v>100</v>
      </c>
      <c r="T46" s="971" t="str">
        <f>P46</f>
        <v xml:space="preserve">Únor </v>
      </c>
      <c r="U46" s="973">
        <f>U44-U45</f>
        <v>450</v>
      </c>
      <c r="V46" s="971" t="s">
        <v>588</v>
      </c>
      <c r="W46" s="974">
        <f>W44-W45</f>
        <v>500</v>
      </c>
      <c r="X46" s="971" t="s">
        <v>588</v>
      </c>
      <c r="Y46" s="974">
        <f>Y44-Y45</f>
        <v>0</v>
      </c>
      <c r="Z46" s="971" t="s">
        <v>588</v>
      </c>
      <c r="AA46" s="974">
        <f>AA44-AA45</f>
        <v>0</v>
      </c>
      <c r="AB46" s="971" t="s">
        <v>588</v>
      </c>
      <c r="AC46" s="1022">
        <f>AC44-AC45</f>
        <v>0</v>
      </c>
      <c r="AD46" s="971" t="s">
        <v>588</v>
      </c>
      <c r="AE46" s="972"/>
      <c r="AF46" s="970"/>
      <c r="AG46" s="971"/>
      <c r="AH46" s="614"/>
    </row>
    <row r="47" spans="1:34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610"/>
      <c r="P47" s="610"/>
      <c r="Q47" s="1030"/>
      <c r="R47" s="1031"/>
      <c r="S47" s="1032" t="s">
        <v>589</v>
      </c>
      <c r="T47" s="610"/>
      <c r="U47" s="610"/>
      <c r="V47" s="61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4" x14ac:dyDescent="0.25">
      <c r="Q48" s="1033"/>
      <c r="R48" s="1034"/>
      <c r="S48" s="1035"/>
      <c r="X48" s="610"/>
      <c r="Y48" s="1076">
        <v>0</v>
      </c>
      <c r="Z48" s="935" t="s">
        <v>587</v>
      </c>
      <c r="AA48" s="1024">
        <v>0</v>
      </c>
      <c r="AB48" s="935" t="s">
        <v>587</v>
      </c>
      <c r="AC48" s="1024">
        <v>0</v>
      </c>
      <c r="AD48" s="935" t="s">
        <v>587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">
        <v>588</v>
      </c>
      <c r="AA49" s="974">
        <f>AA47-AA48</f>
        <v>0</v>
      </c>
      <c r="AB49" s="971" t="s">
        <v>588</v>
      </c>
      <c r="AC49" s="974">
        <f>AC47-AC48</f>
        <v>0</v>
      </c>
      <c r="AD49" s="971" t="s">
        <v>588</v>
      </c>
    </row>
    <row r="50" spans="17:31" ht="15.75" thickTop="1" x14ac:dyDescent="0.25">
      <c r="Q50" s="1033"/>
      <c r="R50" s="1034"/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1033"/>
      <c r="R51" s="1033"/>
      <c r="S51" s="1035"/>
      <c r="X51" s="610"/>
      <c r="Y51" s="1076">
        <v>0</v>
      </c>
      <c r="Z51" s="935" t="s">
        <v>587</v>
      </c>
      <c r="AA51" s="1024">
        <v>0</v>
      </c>
      <c r="AB51" s="935" t="s">
        <v>587</v>
      </c>
      <c r="AC51" s="1024">
        <v>0</v>
      </c>
      <c r="AD51" s="935" t="s">
        <v>587</v>
      </c>
    </row>
    <row r="52" spans="17:31" ht="15.75" thickBot="1" x14ac:dyDescent="0.3">
      <c r="Q52" s="1036"/>
      <c r="R52" s="1034"/>
      <c r="S52" s="1035"/>
      <c r="X52" s="610"/>
      <c r="Y52" s="1077">
        <f>Y50-Y51</f>
        <v>0</v>
      </c>
      <c r="Z52" s="971" t="s">
        <v>588</v>
      </c>
      <c r="AA52" s="974">
        <f>AA50-AA51</f>
        <v>0</v>
      </c>
      <c r="AB52" s="971" t="s">
        <v>588</v>
      </c>
      <c r="AC52" s="974">
        <f>AC50-AC51</f>
        <v>0</v>
      </c>
      <c r="AD52" s="971" t="s">
        <v>588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1:F1"/>
    <mergeCell ref="G1:H1"/>
    <mergeCell ref="I1:K1"/>
    <mergeCell ref="L1:N1"/>
    <mergeCell ref="O1:P1"/>
    <mergeCell ref="Q43:R43"/>
    <mergeCell ref="AE1:AG1"/>
    <mergeCell ref="AH1:AI1"/>
    <mergeCell ref="AJ1:AK1"/>
    <mergeCell ref="AH4:AI4"/>
    <mergeCell ref="AJ4:AK4"/>
    <mergeCell ref="AH9:AI9"/>
    <mergeCell ref="Q1:AD1"/>
    <mergeCell ref="AE43:AG43"/>
    <mergeCell ref="S43:T43"/>
    <mergeCell ref="U43:V43"/>
    <mergeCell ref="W43:X43"/>
    <mergeCell ref="Y43:Z43"/>
    <mergeCell ref="AA43:AB43"/>
    <mergeCell ref="AC43:AD43"/>
    <mergeCell ref="A43:C43"/>
    <mergeCell ref="G43:H43"/>
    <mergeCell ref="I43:K43"/>
    <mergeCell ref="L43:N43"/>
    <mergeCell ref="O43:P43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FF59B2-BCC5-A74C-8C95-18602F52A7C1}">
  <dimension ref="A1:AK61"/>
  <sheetViews>
    <sheetView topLeftCell="U1" zoomScaleNormal="60" zoomScaleSheetLayoutView="100" workbookViewId="0">
      <selection activeCell="AK16" sqref="AK16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10.42578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15.28515625" customWidth="1"/>
    <col min="18" max="18" width="10.5703125" bestFit="1" customWidth="1"/>
    <col min="19" max="19" width="13" bestFit="1" customWidth="1"/>
    <col min="20" max="20" width="10.28515625" bestFit="1" customWidth="1"/>
    <col min="21" max="21" width="13.28515625" customWidth="1"/>
    <col min="22" max="22" width="10.28515625" bestFit="1" customWidth="1"/>
    <col min="23" max="23" width="12.85546875" customWidth="1"/>
    <col min="24" max="24" width="10.28515625" customWidth="1"/>
    <col min="25" max="25" width="16.5703125" customWidth="1"/>
    <col min="26" max="26" width="13.42578125" customWidth="1"/>
    <col min="27" max="27" width="16.5703125" customWidth="1"/>
    <col min="28" max="28" width="16.28515625" bestFit="1" customWidth="1"/>
    <col min="29" max="29" width="15.5703125" bestFit="1" customWidth="1"/>
    <col min="30" max="30" width="10.28515625" bestFit="1" customWidth="1"/>
    <col min="31" max="31" width="11.710937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3.7109375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601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593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585</v>
      </c>
      <c r="R2" s="966" t="s">
        <v>441</v>
      </c>
      <c r="S2" s="967" t="s">
        <v>517</v>
      </c>
      <c r="T2" s="966" t="s">
        <v>442</v>
      </c>
      <c r="U2" s="964" t="s">
        <v>583</v>
      </c>
      <c r="V2" s="966" t="s">
        <v>443</v>
      </c>
      <c r="W2" s="964" t="s">
        <v>553</v>
      </c>
      <c r="X2" s="966" t="s">
        <v>444</v>
      </c>
      <c r="Y2" s="964" t="s">
        <v>568</v>
      </c>
      <c r="Z2" s="966" t="s">
        <v>445</v>
      </c>
      <c r="AA2" s="964" t="s">
        <v>551</v>
      </c>
      <c r="AB2" s="966" t="s">
        <v>446</v>
      </c>
      <c r="AC2" s="964" t="s">
        <v>552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/>
      <c r="B3" s="979"/>
      <c r="C3" s="945"/>
      <c r="D3" s="619"/>
      <c r="E3" s="979"/>
      <c r="F3" s="952"/>
      <c r="G3" s="975"/>
      <c r="H3" s="952"/>
      <c r="I3" s="619"/>
      <c r="J3" s="978"/>
      <c r="K3" s="952"/>
      <c r="L3" s="959"/>
      <c r="M3" s="981"/>
      <c r="N3" s="952"/>
      <c r="O3" s="984">
        <f>AG44-AK6-AI3</f>
        <v>245</v>
      </c>
      <c r="P3" s="945"/>
      <c r="Q3" s="984"/>
      <c r="R3" s="937"/>
      <c r="S3" s="984"/>
      <c r="T3" s="937"/>
      <c r="U3" s="984"/>
      <c r="V3" s="937"/>
      <c r="W3" s="989"/>
      <c r="X3" s="937"/>
      <c r="Y3" s="989"/>
      <c r="Z3" s="937"/>
      <c r="AA3" s="984"/>
      <c r="AB3" s="937"/>
      <c r="AC3" s="990"/>
      <c r="AD3" s="937"/>
      <c r="AE3" s="993"/>
      <c r="AF3" s="997" t="s">
        <v>119</v>
      </c>
      <c r="AG3" s="963">
        <f>'01cash'!AI3</f>
        <v>245</v>
      </c>
      <c r="AH3" s="299">
        <v>0</v>
      </c>
      <c r="AI3" s="300"/>
      <c r="AJ3" s="301">
        <f>AH6+AJ6</f>
        <v>0</v>
      </c>
      <c r="AK3" s="302">
        <f>AK6+AI6</f>
        <v>0</v>
      </c>
    </row>
    <row r="4" spans="1:37" ht="19.5" thickBot="1" x14ac:dyDescent="0.3">
      <c r="A4" s="856"/>
      <c r="B4" s="979"/>
      <c r="C4" s="946"/>
      <c r="D4" s="618"/>
      <c r="E4" s="979"/>
      <c r="F4" s="953"/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/>
      <c r="R4" s="938"/>
      <c r="S4" s="986"/>
      <c r="T4" s="938"/>
      <c r="U4" s="986"/>
      <c r="V4" s="938"/>
      <c r="W4" s="990"/>
      <c r="X4" s="938"/>
      <c r="Y4" s="990"/>
      <c r="Z4" s="938"/>
      <c r="AA4" s="986"/>
      <c r="AB4" s="938"/>
      <c r="AC4" s="1051"/>
      <c r="AD4" s="938"/>
      <c r="AE4" s="994"/>
      <c r="AF4" s="997"/>
      <c r="AG4" s="963"/>
      <c r="AH4" s="1282" t="s">
        <v>63</v>
      </c>
      <c r="AI4" s="1245"/>
      <c r="AJ4" s="1246" t="s">
        <v>64</v>
      </c>
      <c r="AK4" s="1237"/>
    </row>
    <row r="5" spans="1:37" ht="15.75" x14ac:dyDescent="0.25">
      <c r="A5" s="856"/>
      <c r="B5" s="979"/>
      <c r="C5" s="946"/>
      <c r="D5" s="618"/>
      <c r="E5" s="979"/>
      <c r="F5" s="953"/>
      <c r="G5" s="976"/>
      <c r="H5" s="953"/>
      <c r="I5" s="618"/>
      <c r="J5" s="979"/>
      <c r="K5" s="953"/>
      <c r="L5" s="960"/>
      <c r="M5" s="982"/>
      <c r="N5" s="963"/>
      <c r="O5" s="976"/>
      <c r="P5" s="946"/>
      <c r="Q5" s="1070"/>
      <c r="R5" s="1068"/>
      <c r="S5" s="986"/>
      <c r="T5" s="938"/>
      <c r="U5" s="986"/>
      <c r="V5" s="938"/>
      <c r="W5" s="990"/>
      <c r="X5" s="938"/>
      <c r="Y5" s="990"/>
      <c r="Z5" s="938"/>
      <c r="AA5" s="986"/>
      <c r="AB5" s="938"/>
      <c r="AC5" s="1051"/>
      <c r="AD5" s="938"/>
      <c r="AE5" s="994"/>
      <c r="AF5" s="997"/>
      <c r="AG5" s="963"/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856"/>
      <c r="B6" s="979"/>
      <c r="C6" s="946"/>
      <c r="D6" s="618"/>
      <c r="E6" s="979"/>
      <c r="F6" s="953"/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1070"/>
      <c r="R6" s="1068"/>
      <c r="S6" s="986"/>
      <c r="T6" s="938"/>
      <c r="U6" s="986"/>
      <c r="V6" s="938"/>
      <c r="W6" s="990"/>
      <c r="X6" s="938"/>
      <c r="Y6" s="990"/>
      <c r="Z6" s="938"/>
      <c r="AA6" s="986"/>
      <c r="AB6" s="938"/>
      <c r="AC6" s="1050"/>
      <c r="AD6" s="938"/>
      <c r="AE6" s="994"/>
      <c r="AF6" s="997"/>
      <c r="AG6" s="963"/>
      <c r="AH6" s="612">
        <f>A44+L44</f>
        <v>0</v>
      </c>
      <c r="AI6" s="317">
        <f>D44+H44+K44+N45</f>
        <v>0</v>
      </c>
      <c r="AJ6" s="128">
        <f>L45+C44</f>
        <v>0</v>
      </c>
      <c r="AK6" s="129">
        <f>F44+G44+I44+M45+Q44+S44+W44+Y44+AA44+AC44+Y47+Y50+AA47+AA50+AC47+AC50+U44+AC16</f>
        <v>0</v>
      </c>
    </row>
    <row r="7" spans="1:37" ht="19.5" thickBot="1" x14ac:dyDescent="0.3">
      <c r="A7" s="856"/>
      <c r="B7" s="979"/>
      <c r="C7" s="946"/>
      <c r="D7" s="618"/>
      <c r="E7" s="979"/>
      <c r="F7" s="953"/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1070"/>
      <c r="R7" s="1068"/>
      <c r="S7" s="986"/>
      <c r="T7" s="938"/>
      <c r="U7" s="986"/>
      <c r="V7" s="938"/>
      <c r="W7" s="990"/>
      <c r="X7" s="938"/>
      <c r="Y7" s="990"/>
      <c r="Z7" s="938"/>
      <c r="AA7" s="986"/>
      <c r="AB7" s="938"/>
      <c r="AC7" s="990"/>
      <c r="AD7" s="938"/>
      <c r="AE7" s="1143"/>
      <c r="AF7" s="997"/>
      <c r="AG7" s="963"/>
      <c r="AH7" s="613" t="s">
        <v>66</v>
      </c>
      <c r="AI7" s="321" t="s">
        <v>67</v>
      </c>
    </row>
    <row r="8" spans="1:37" x14ac:dyDescent="0.25">
      <c r="A8" s="856"/>
      <c r="B8" s="979"/>
      <c r="C8" s="946"/>
      <c r="D8" s="618"/>
      <c r="E8" s="979"/>
      <c r="F8" s="953"/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1070"/>
      <c r="R8" s="1068"/>
      <c r="S8" s="976"/>
      <c r="T8" s="938"/>
      <c r="U8" s="986"/>
      <c r="V8" s="938"/>
      <c r="W8" s="990"/>
      <c r="X8" s="938"/>
      <c r="Y8" s="990"/>
      <c r="Z8" s="938"/>
      <c r="AA8" s="986"/>
      <c r="AB8" s="938"/>
      <c r="AC8" s="990"/>
      <c r="AD8" s="938"/>
      <c r="AE8" s="994"/>
      <c r="AF8" s="997"/>
      <c r="AG8" s="963"/>
      <c r="AH8" s="326">
        <v>0</v>
      </c>
      <c r="AI8" s="327">
        <f>E44</f>
        <v>0</v>
      </c>
    </row>
    <row r="9" spans="1:37" ht="15.75" thickBot="1" x14ac:dyDescent="0.3">
      <c r="A9" s="856"/>
      <c r="B9" s="979"/>
      <c r="C9" s="946"/>
      <c r="D9" s="618"/>
      <c r="E9" s="979"/>
      <c r="F9" s="953"/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/>
      <c r="R9" s="938"/>
      <c r="S9" s="976"/>
      <c r="T9" s="938"/>
      <c r="U9" s="986"/>
      <c r="V9" s="938"/>
      <c r="W9" s="990"/>
      <c r="X9" s="938"/>
      <c r="Y9" s="990"/>
      <c r="Z9" s="938"/>
      <c r="AA9" s="986"/>
      <c r="AB9" s="938"/>
      <c r="AC9" s="990"/>
      <c r="AD9" s="938"/>
      <c r="AE9" s="1143"/>
      <c r="AF9" s="997"/>
      <c r="AG9" s="963"/>
      <c r="AH9" s="1244">
        <f>AH8-AI8</f>
        <v>0</v>
      </c>
      <c r="AI9" s="1222"/>
    </row>
    <row r="10" spans="1:37" x14ac:dyDescent="0.25">
      <c r="A10" s="1155"/>
      <c r="B10" s="979"/>
      <c r="C10" s="1060"/>
      <c r="D10" s="663"/>
      <c r="E10" s="979"/>
      <c r="F10" s="1061"/>
      <c r="G10" s="1062"/>
      <c r="H10" s="1063"/>
      <c r="I10" s="1064"/>
      <c r="J10" s="979"/>
      <c r="K10" s="1065"/>
      <c r="L10" s="1066"/>
      <c r="M10" s="982"/>
      <c r="N10" s="1061"/>
      <c r="O10" s="1067"/>
      <c r="P10" s="1060"/>
      <c r="Q10" s="1070"/>
      <c r="R10" s="1068"/>
      <c r="S10" s="1069"/>
      <c r="T10" s="1068"/>
      <c r="U10" s="1070"/>
      <c r="V10" s="1068"/>
      <c r="W10" s="1051"/>
      <c r="X10" s="938"/>
      <c r="Y10" s="991"/>
      <c r="Z10" s="938"/>
      <c r="AA10" s="986"/>
      <c r="AB10" s="1071"/>
      <c r="AC10" s="1050"/>
      <c r="AD10" s="1071"/>
      <c r="AE10" s="994"/>
      <c r="AF10" s="1073"/>
      <c r="AG10" s="963"/>
      <c r="AH10" s="610"/>
      <c r="AI10" s="1052"/>
    </row>
    <row r="11" spans="1:37" x14ac:dyDescent="0.25">
      <c r="A11" s="1155"/>
      <c r="B11" s="979"/>
      <c r="C11" s="1060"/>
      <c r="D11" s="663"/>
      <c r="E11" s="979"/>
      <c r="F11" s="1061"/>
      <c r="G11" s="1062"/>
      <c r="H11" s="1063"/>
      <c r="I11" s="1064"/>
      <c r="J11" s="979"/>
      <c r="K11" s="1065"/>
      <c r="L11" s="1066"/>
      <c r="M11" s="982"/>
      <c r="N11" s="1061"/>
      <c r="O11" s="1067"/>
      <c r="P11" s="1060"/>
      <c r="Q11" s="1070"/>
      <c r="R11" s="1068"/>
      <c r="S11" s="1069"/>
      <c r="T11" s="1068"/>
      <c r="U11" s="1070"/>
      <c r="V11" s="1068"/>
      <c r="W11" s="1051"/>
      <c r="X11" s="938"/>
      <c r="Y11" s="991"/>
      <c r="Z11" s="938"/>
      <c r="AA11" s="986"/>
      <c r="AB11" s="1071"/>
      <c r="AC11" s="1050"/>
      <c r="AD11" s="1071"/>
      <c r="AE11" s="994"/>
      <c r="AF11" s="1073"/>
      <c r="AG11" s="963"/>
      <c r="AH11" s="610"/>
      <c r="AI11" s="1052"/>
    </row>
    <row r="12" spans="1:37" x14ac:dyDescent="0.25">
      <c r="A12" s="1155"/>
      <c r="B12" s="979"/>
      <c r="C12" s="1060"/>
      <c r="D12" s="663"/>
      <c r="E12" s="979"/>
      <c r="F12" s="1061"/>
      <c r="G12" s="1062"/>
      <c r="H12" s="1063"/>
      <c r="I12" s="1064"/>
      <c r="J12" s="979"/>
      <c r="K12" s="1065"/>
      <c r="L12" s="1066"/>
      <c r="M12" s="982"/>
      <c r="N12" s="1061"/>
      <c r="O12" s="1067"/>
      <c r="P12" s="1060"/>
      <c r="Q12" s="1070"/>
      <c r="R12" s="1068"/>
      <c r="S12" s="1069"/>
      <c r="T12" s="1068"/>
      <c r="U12" s="1070"/>
      <c r="V12" s="1068"/>
      <c r="W12" s="1050"/>
      <c r="X12" s="938"/>
      <c r="Y12" s="991"/>
      <c r="Z12" s="938"/>
      <c r="AA12" s="986"/>
      <c r="AB12" s="1071"/>
      <c r="AC12" s="1050"/>
      <c r="AD12" s="1071"/>
      <c r="AE12" s="994"/>
      <c r="AF12" s="1144"/>
      <c r="AG12" s="1145"/>
      <c r="AH12" s="610"/>
      <c r="AI12" s="1052"/>
    </row>
    <row r="13" spans="1:37" x14ac:dyDescent="0.25">
      <c r="A13" s="1155"/>
      <c r="B13" s="979"/>
      <c r="C13" s="1060"/>
      <c r="D13" s="663"/>
      <c r="E13" s="979"/>
      <c r="F13" s="1061"/>
      <c r="G13" s="1062"/>
      <c r="H13" s="1063"/>
      <c r="I13" s="1064"/>
      <c r="J13" s="979"/>
      <c r="K13" s="1065"/>
      <c r="L13" s="1066"/>
      <c r="M13" s="982"/>
      <c r="N13" s="1061"/>
      <c r="O13" s="1067"/>
      <c r="P13" s="1060"/>
      <c r="Q13" s="1070"/>
      <c r="R13" s="1068"/>
      <c r="S13" s="1069"/>
      <c r="T13" s="1068"/>
      <c r="U13" s="1070"/>
      <c r="V13" s="1068"/>
      <c r="W13" s="1050"/>
      <c r="X13" s="938"/>
      <c r="Y13" s="991"/>
      <c r="Z13" s="938"/>
      <c r="AA13" s="986"/>
      <c r="AB13" s="1071"/>
      <c r="AC13" s="1050"/>
      <c r="AD13" s="1071"/>
      <c r="AE13" s="1072"/>
      <c r="AF13" s="1073"/>
      <c r="AG13" s="963"/>
      <c r="AH13" s="610"/>
      <c r="AI13" s="1052"/>
    </row>
    <row r="14" spans="1:37" x14ac:dyDescent="0.25">
      <c r="A14" s="856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/>
      <c r="X14" s="938"/>
      <c r="Y14" s="990"/>
      <c r="Z14" s="938"/>
      <c r="AA14" s="976"/>
      <c r="AB14" s="938"/>
      <c r="AC14" s="991"/>
      <c r="AD14" s="938"/>
      <c r="AE14" s="994"/>
      <c r="AF14" s="997"/>
      <c r="AG14" s="963"/>
      <c r="AH14" s="610"/>
    </row>
    <row r="15" spans="1:37" ht="18.75" x14ac:dyDescent="0.25">
      <c r="A15" s="856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63"/>
      <c r="O15" s="976"/>
      <c r="P15" s="946"/>
      <c r="Q15" s="986"/>
      <c r="R15" s="938"/>
      <c r="S15" s="976"/>
      <c r="T15" s="938"/>
      <c r="U15" s="986"/>
      <c r="V15" s="938"/>
      <c r="W15" s="990"/>
      <c r="X15" s="938"/>
      <c r="Y15" s="1125">
        <v>2</v>
      </c>
      <c r="Z15" s="1054" t="s">
        <v>47</v>
      </c>
      <c r="AA15" s="1142">
        <v>5</v>
      </c>
      <c r="AB15" s="1054" t="s">
        <v>47</v>
      </c>
      <c r="AC15" s="1125">
        <v>8</v>
      </c>
      <c r="AD15" s="1054" t="s">
        <v>47</v>
      </c>
      <c r="AE15" s="994"/>
      <c r="AF15" s="997"/>
      <c r="AG15" s="963"/>
      <c r="AH15" s="610"/>
    </row>
    <row r="16" spans="1:37" x14ac:dyDescent="0.25">
      <c r="A16" s="856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0"/>
      <c r="X16" s="938"/>
      <c r="Y16" s="990"/>
      <c r="Z16" s="938"/>
      <c r="AA16" s="986"/>
      <c r="AB16" s="938"/>
      <c r="AC16" s="990"/>
      <c r="AD16" s="938"/>
      <c r="AE16" s="994"/>
      <c r="AF16" s="997"/>
      <c r="AG16" s="963"/>
      <c r="AH16" s="610"/>
    </row>
    <row r="17" spans="1:34" x14ac:dyDescent="0.25">
      <c r="A17" s="1155"/>
      <c r="B17" s="979"/>
      <c r="C17" s="1060"/>
      <c r="D17" s="663"/>
      <c r="E17" s="979"/>
      <c r="F17" s="1061"/>
      <c r="G17" s="1062"/>
      <c r="H17" s="1063"/>
      <c r="I17" s="1064"/>
      <c r="J17" s="979"/>
      <c r="K17" s="1065"/>
      <c r="L17" s="1066"/>
      <c r="M17" s="982"/>
      <c r="N17" s="1061"/>
      <c r="O17" s="1067"/>
      <c r="P17" s="1060"/>
      <c r="Q17" s="1070"/>
      <c r="R17" s="1068"/>
      <c r="S17" s="1069"/>
      <c r="T17" s="1068"/>
      <c r="U17" s="1070"/>
      <c r="V17" s="1068"/>
      <c r="W17" s="1051"/>
      <c r="X17" s="938"/>
      <c r="Y17" s="991"/>
      <c r="Z17" s="938"/>
      <c r="AA17" s="986"/>
      <c r="AB17" s="1071"/>
      <c r="AC17" s="1050"/>
      <c r="AD17" s="1071"/>
      <c r="AE17" s="1072"/>
      <c r="AF17" s="1073"/>
      <c r="AG17" s="963"/>
      <c r="AH17" s="610"/>
    </row>
    <row r="18" spans="1:34" x14ac:dyDescent="0.25">
      <c r="A18" s="1155"/>
      <c r="B18" s="979"/>
      <c r="C18" s="1060"/>
      <c r="D18" s="663"/>
      <c r="E18" s="979"/>
      <c r="F18" s="1061"/>
      <c r="G18" s="1062"/>
      <c r="H18" s="1063"/>
      <c r="I18" s="1064"/>
      <c r="J18" s="979"/>
      <c r="K18" s="1065"/>
      <c r="L18" s="1066"/>
      <c r="M18" s="982"/>
      <c r="N18" s="1061"/>
      <c r="O18" s="1067"/>
      <c r="P18" s="1060"/>
      <c r="Q18" s="1070"/>
      <c r="R18" s="1068"/>
      <c r="S18" s="1069"/>
      <c r="T18" s="1068"/>
      <c r="U18" s="1070"/>
      <c r="V18" s="1068"/>
      <c r="W18" s="1051"/>
      <c r="X18" s="938"/>
      <c r="Y18" s="991"/>
      <c r="Z18" s="938"/>
      <c r="AA18" s="986"/>
      <c r="AB18" s="1071"/>
      <c r="AC18" s="1050"/>
      <c r="AD18" s="1071"/>
      <c r="AE18" s="1072"/>
      <c r="AF18" s="1073"/>
      <c r="AG18" s="963"/>
      <c r="AH18" s="610"/>
    </row>
    <row r="19" spans="1:34" x14ac:dyDescent="0.25">
      <c r="A19" s="1155"/>
      <c r="B19" s="979"/>
      <c r="C19" s="1060"/>
      <c r="D19" s="663"/>
      <c r="E19" s="979"/>
      <c r="F19" s="1061"/>
      <c r="G19" s="1062"/>
      <c r="H19" s="1063"/>
      <c r="I19" s="1064"/>
      <c r="J19" s="979"/>
      <c r="K19" s="1065"/>
      <c r="L19" s="1066"/>
      <c r="M19" s="982"/>
      <c r="N19" s="1061"/>
      <c r="O19" s="1067"/>
      <c r="P19" s="1060"/>
      <c r="Q19" s="1070"/>
      <c r="R19" s="1068"/>
      <c r="S19" s="1069"/>
      <c r="T19" s="1068"/>
      <c r="U19" s="1070"/>
      <c r="V19" s="1068"/>
      <c r="W19" s="1051"/>
      <c r="X19" s="938"/>
      <c r="Y19" s="991"/>
      <c r="Z19" s="938"/>
      <c r="AA19" s="986"/>
      <c r="AB19" s="1071"/>
      <c r="AC19" s="1050"/>
      <c r="AD19" s="1071"/>
      <c r="AE19" s="1072"/>
      <c r="AF19" s="1073"/>
      <c r="AG19" s="963"/>
      <c r="AH19" s="610"/>
    </row>
    <row r="20" spans="1:34" x14ac:dyDescent="0.25">
      <c r="A20" s="856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0"/>
      <c r="X20" s="938"/>
      <c r="Y20" s="990"/>
      <c r="Z20" s="938"/>
      <c r="AA20" s="986"/>
      <c r="AB20" s="938"/>
      <c r="AC20" s="991"/>
      <c r="AD20" s="938"/>
      <c r="AE20" s="994"/>
      <c r="AF20" s="997"/>
      <c r="AG20" s="963"/>
      <c r="AH20" s="610"/>
    </row>
    <row r="21" spans="1:34" x14ac:dyDescent="0.25">
      <c r="A21" s="856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0"/>
      <c r="X21" s="938"/>
      <c r="Y21" s="990"/>
      <c r="Z21" s="938"/>
      <c r="AA21" s="986"/>
      <c r="AB21" s="938"/>
      <c r="AC21" s="991"/>
      <c r="AD21" s="938"/>
      <c r="AE21" s="994"/>
      <c r="AF21" s="997"/>
      <c r="AG21" s="963"/>
      <c r="AH21" s="610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0"/>
      <c r="Z22" s="938"/>
      <c r="AA22" s="986"/>
      <c r="AB22" s="938"/>
      <c r="AC22" s="991"/>
      <c r="AD22" s="938"/>
      <c r="AE22" s="994"/>
      <c r="AF22" s="997"/>
      <c r="AG22" s="963"/>
      <c r="AH22" s="610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0"/>
      <c r="Z23" s="938"/>
      <c r="AA23" s="976"/>
      <c r="AB23" s="938"/>
      <c r="AC23" s="991"/>
      <c r="AD23" s="938"/>
      <c r="AE23" s="994"/>
      <c r="AF23" s="997"/>
      <c r="AG23" s="963"/>
      <c r="AH23" s="610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0"/>
      <c r="Z24" s="938"/>
      <c r="AA24" s="976"/>
      <c r="AB24" s="938"/>
      <c r="AC24" s="991"/>
      <c r="AD24" s="938"/>
      <c r="AE24" s="994"/>
      <c r="AF24" s="997"/>
      <c r="AG24" s="963"/>
      <c r="AH24" s="610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0"/>
      <c r="Z25" s="938"/>
      <c r="AA25" s="976"/>
      <c r="AB25" s="938"/>
      <c r="AC25" s="991"/>
      <c r="AD25" s="938"/>
      <c r="AE25" s="994"/>
      <c r="AF25" s="997"/>
      <c r="AG25" s="963"/>
      <c r="AH25" s="610"/>
    </row>
    <row r="26" spans="1:34" x14ac:dyDescent="0.25">
      <c r="A26" s="659"/>
      <c r="B26" s="979"/>
      <c r="C26" s="1060"/>
      <c r="D26" s="663"/>
      <c r="E26" s="979"/>
      <c r="F26" s="1061"/>
      <c r="G26" s="1062"/>
      <c r="H26" s="1063"/>
      <c r="I26" s="1064"/>
      <c r="J26" s="979"/>
      <c r="K26" s="1065"/>
      <c r="L26" s="1066"/>
      <c r="M26" s="982"/>
      <c r="N26" s="1061"/>
      <c r="O26" s="1067"/>
      <c r="P26" s="1060"/>
      <c r="Q26" s="1062"/>
      <c r="R26" s="1068"/>
      <c r="S26" s="1069"/>
      <c r="T26" s="1068"/>
      <c r="U26" s="1070"/>
      <c r="V26" s="1068"/>
      <c r="W26" s="1050"/>
      <c r="X26" s="938"/>
      <c r="Y26" s="991"/>
      <c r="Z26" s="938"/>
      <c r="AA26" s="986"/>
      <c r="AB26" s="1071"/>
      <c r="AC26" s="1050"/>
      <c r="AD26" s="1071"/>
      <c r="AE26" s="1072"/>
      <c r="AF26" s="1073"/>
      <c r="AG26" s="963"/>
      <c r="AH26" s="610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63"/>
      <c r="AH27" s="614"/>
    </row>
    <row r="28" spans="1:34" ht="18.75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1125">
        <v>3</v>
      </c>
      <c r="Z28" s="1054" t="s">
        <v>47</v>
      </c>
      <c r="AA28" s="1125">
        <v>6</v>
      </c>
      <c r="AB28" s="1054" t="s">
        <v>47</v>
      </c>
      <c r="AC28" s="1125">
        <v>9</v>
      </c>
      <c r="AD28" s="1054" t="s">
        <v>47</v>
      </c>
      <c r="AE28" s="994"/>
      <c r="AF28" s="997"/>
      <c r="AG28" s="963"/>
      <c r="AH28" s="614"/>
    </row>
    <row r="29" spans="1:34" x14ac:dyDescent="0.25">
      <c r="A29" s="659"/>
      <c r="B29" s="979"/>
      <c r="C29" s="1060"/>
      <c r="D29" s="663"/>
      <c r="E29" s="979"/>
      <c r="F29" s="1061"/>
      <c r="G29" s="1062"/>
      <c r="H29" s="1063"/>
      <c r="I29" s="1064"/>
      <c r="J29" s="979"/>
      <c r="K29" s="1065"/>
      <c r="L29" s="1066"/>
      <c r="M29" s="982"/>
      <c r="N29" s="1061"/>
      <c r="O29" s="1067"/>
      <c r="P29" s="1060"/>
      <c r="Q29" s="1070"/>
      <c r="R29" s="1068"/>
      <c r="S29" s="1069"/>
      <c r="T29" s="1068"/>
      <c r="U29" s="1070"/>
      <c r="V29" s="1068"/>
      <c r="W29" s="1050"/>
      <c r="X29" s="938"/>
      <c r="Y29" s="1146"/>
      <c r="Z29" s="1147"/>
      <c r="AA29" s="1148"/>
      <c r="AB29" s="1149"/>
      <c r="AC29" s="1150"/>
      <c r="AD29" s="1149"/>
      <c r="AE29" s="1072"/>
      <c r="AF29" s="1073"/>
      <c r="AG29" s="1151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86"/>
      <c r="AB30" s="938"/>
      <c r="AC30" s="991"/>
      <c r="AD30" s="938"/>
      <c r="AE30" s="994"/>
      <c r="AF30" s="997"/>
      <c r="AG30" s="96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86"/>
      <c r="AB31" s="938"/>
      <c r="AC31" s="991"/>
      <c r="AD31" s="938"/>
      <c r="AE31" s="994"/>
      <c r="AF31" s="997"/>
      <c r="AG31" s="96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86"/>
      <c r="AB32" s="938"/>
      <c r="AC32" s="991"/>
      <c r="AD32" s="938"/>
      <c r="AE32" s="994"/>
      <c r="AF32" s="997"/>
      <c r="AG32" s="963"/>
      <c r="AH32" s="614"/>
    </row>
    <row r="33" spans="1:34" x14ac:dyDescent="0.25">
      <c r="A33" s="681"/>
      <c r="B33" s="979"/>
      <c r="C33" s="946"/>
      <c r="D33" s="618"/>
      <c r="E33" s="979"/>
      <c r="F33" s="953"/>
      <c r="G33" s="976"/>
      <c r="H33" s="953"/>
      <c r="I33" s="618"/>
      <c r="J33" s="979"/>
      <c r="K33" s="953"/>
      <c r="L33" s="960"/>
      <c r="M33" s="982"/>
      <c r="N33" s="953"/>
      <c r="O33" s="976"/>
      <c r="P33" s="946"/>
      <c r="Q33" s="986"/>
      <c r="R33" s="938"/>
      <c r="S33" s="976"/>
      <c r="T33" s="938"/>
      <c r="U33" s="986"/>
      <c r="V33" s="938"/>
      <c r="W33" s="991"/>
      <c r="X33" s="938"/>
      <c r="Y33" s="991"/>
      <c r="Z33" s="938"/>
      <c r="AA33" s="976"/>
      <c r="AB33" s="938"/>
      <c r="AC33" s="991"/>
      <c r="AD33" s="938"/>
      <c r="AE33" s="994"/>
      <c r="AF33" s="997"/>
      <c r="AG33" s="963"/>
      <c r="AH33" s="614"/>
    </row>
    <row r="34" spans="1:34" x14ac:dyDescent="0.25">
      <c r="A34" s="681"/>
      <c r="B34" s="979"/>
      <c r="C34" s="946"/>
      <c r="D34" s="618"/>
      <c r="E34" s="979"/>
      <c r="F34" s="953"/>
      <c r="G34" s="976"/>
      <c r="H34" s="953"/>
      <c r="I34" s="618"/>
      <c r="J34" s="979"/>
      <c r="K34" s="953"/>
      <c r="L34" s="960"/>
      <c r="M34" s="982"/>
      <c r="N34" s="953"/>
      <c r="O34" s="976"/>
      <c r="P34" s="946"/>
      <c r="Q34" s="986"/>
      <c r="R34" s="938"/>
      <c r="S34" s="976"/>
      <c r="T34" s="938"/>
      <c r="U34" s="986"/>
      <c r="V34" s="938"/>
      <c r="W34" s="991"/>
      <c r="X34" s="938"/>
      <c r="Y34" s="991"/>
      <c r="Z34" s="938"/>
      <c r="AA34" s="976"/>
      <c r="AB34" s="938"/>
      <c r="AC34" s="991"/>
      <c r="AD34" s="938"/>
      <c r="AE34" s="994"/>
      <c r="AF34" s="997"/>
      <c r="AG34" s="963"/>
      <c r="AH34" s="614"/>
    </row>
    <row r="35" spans="1:34" x14ac:dyDescent="0.25">
      <c r="A35" s="681"/>
      <c r="B35" s="979"/>
      <c r="C35" s="946"/>
      <c r="D35" s="618"/>
      <c r="E35" s="979"/>
      <c r="F35" s="953"/>
      <c r="G35" s="976"/>
      <c r="H35" s="953"/>
      <c r="I35" s="618"/>
      <c r="J35" s="979"/>
      <c r="K35" s="953"/>
      <c r="L35" s="960"/>
      <c r="M35" s="982"/>
      <c r="N35" s="953"/>
      <c r="O35" s="976"/>
      <c r="P35" s="946"/>
      <c r="Q35" s="986"/>
      <c r="R35" s="938"/>
      <c r="S35" s="976"/>
      <c r="T35" s="938"/>
      <c r="U35" s="986"/>
      <c r="V35" s="938"/>
      <c r="W35" s="991"/>
      <c r="X35" s="938"/>
      <c r="Y35" s="991"/>
      <c r="Z35" s="938"/>
      <c r="AA35" s="976"/>
      <c r="AB35" s="938"/>
      <c r="AC35" s="991"/>
      <c r="AD35" s="938"/>
      <c r="AE35" s="994"/>
      <c r="AF35" s="997"/>
      <c r="AG35" s="963"/>
      <c r="AH35" s="614"/>
    </row>
    <row r="36" spans="1:34" x14ac:dyDescent="0.25">
      <c r="A36" s="681"/>
      <c r="B36" s="979"/>
      <c r="C36" s="946"/>
      <c r="D36" s="618"/>
      <c r="E36" s="979"/>
      <c r="F36" s="953"/>
      <c r="G36" s="976"/>
      <c r="H36" s="953"/>
      <c r="I36" s="618"/>
      <c r="J36" s="979"/>
      <c r="K36" s="953"/>
      <c r="L36" s="960"/>
      <c r="M36" s="982"/>
      <c r="N36" s="953"/>
      <c r="O36" s="976"/>
      <c r="P36" s="946"/>
      <c r="Q36" s="986"/>
      <c r="R36" s="938"/>
      <c r="S36" s="976"/>
      <c r="T36" s="938"/>
      <c r="U36" s="986"/>
      <c r="V36" s="938"/>
      <c r="W36" s="991"/>
      <c r="X36" s="938"/>
      <c r="Y36" s="991"/>
      <c r="Z36" s="938"/>
      <c r="AA36" s="986"/>
      <c r="AB36" s="938"/>
      <c r="AC36" s="991"/>
      <c r="AD36" s="938"/>
      <c r="AE36" s="994"/>
      <c r="AF36" s="997"/>
      <c r="AG36" s="963"/>
      <c r="AH36" s="614"/>
    </row>
    <row r="37" spans="1:34" x14ac:dyDescent="0.25">
      <c r="A37" s="681"/>
      <c r="B37" s="979"/>
      <c r="C37" s="946"/>
      <c r="D37" s="618"/>
      <c r="E37" s="979"/>
      <c r="F37" s="953"/>
      <c r="G37" s="976"/>
      <c r="H37" s="953"/>
      <c r="I37" s="618"/>
      <c r="J37" s="979"/>
      <c r="K37" s="953"/>
      <c r="L37" s="960"/>
      <c r="M37" s="982"/>
      <c r="N37" s="953"/>
      <c r="O37" s="976"/>
      <c r="P37" s="946"/>
      <c r="Q37" s="986"/>
      <c r="R37" s="938"/>
      <c r="S37" s="976"/>
      <c r="T37" s="938"/>
      <c r="U37" s="986"/>
      <c r="V37" s="938"/>
      <c r="W37" s="991"/>
      <c r="X37" s="938"/>
      <c r="Y37" s="991"/>
      <c r="Z37" s="938"/>
      <c r="AA37" s="986"/>
      <c r="AB37" s="938"/>
      <c r="AC37" s="991"/>
      <c r="AD37" s="938"/>
      <c r="AE37" s="994"/>
      <c r="AF37" s="997"/>
      <c r="AG37" s="963"/>
      <c r="AH37" s="614"/>
    </row>
    <row r="38" spans="1:34" x14ac:dyDescent="0.25">
      <c r="A38" s="681"/>
      <c r="B38" s="979"/>
      <c r="C38" s="946"/>
      <c r="D38" s="618"/>
      <c r="E38" s="979"/>
      <c r="F38" s="953"/>
      <c r="G38" s="976"/>
      <c r="H38" s="953"/>
      <c r="I38" s="618"/>
      <c r="J38" s="979"/>
      <c r="K38" s="953"/>
      <c r="L38" s="960"/>
      <c r="M38" s="982"/>
      <c r="N38" s="953"/>
      <c r="O38" s="976"/>
      <c r="P38" s="946"/>
      <c r="Q38" s="986"/>
      <c r="R38" s="938"/>
      <c r="S38" s="976"/>
      <c r="T38" s="938"/>
      <c r="U38" s="986"/>
      <c r="V38" s="938"/>
      <c r="W38" s="991"/>
      <c r="X38" s="938"/>
      <c r="Y38" s="991"/>
      <c r="Z38" s="938"/>
      <c r="AA38" s="976"/>
      <c r="AB38" s="938"/>
      <c r="AC38" s="991"/>
      <c r="AD38" s="938"/>
      <c r="AE38" s="994"/>
      <c r="AF38" s="997"/>
      <c r="AG38" s="963"/>
      <c r="AH38" s="614"/>
    </row>
    <row r="39" spans="1:34" x14ac:dyDescent="0.25">
      <c r="A39" s="681"/>
      <c r="B39" s="979"/>
      <c r="C39" s="946"/>
      <c r="D39" s="618"/>
      <c r="E39" s="979"/>
      <c r="F39" s="953"/>
      <c r="G39" s="976"/>
      <c r="H39" s="953"/>
      <c r="I39" s="618"/>
      <c r="J39" s="979"/>
      <c r="K39" s="953"/>
      <c r="L39" s="960"/>
      <c r="M39" s="982"/>
      <c r="N39" s="953"/>
      <c r="O39" s="976"/>
      <c r="P39" s="946"/>
      <c r="Q39" s="986"/>
      <c r="R39" s="938"/>
      <c r="S39" s="976"/>
      <c r="T39" s="938"/>
      <c r="U39" s="986"/>
      <c r="V39" s="938"/>
      <c r="W39" s="991"/>
      <c r="X39" s="938"/>
      <c r="Y39" s="991"/>
      <c r="Z39" s="938"/>
      <c r="AA39" s="976"/>
      <c r="AB39" s="938"/>
      <c r="AC39" s="991"/>
      <c r="AD39" s="938"/>
      <c r="AE39" s="994"/>
      <c r="AF39" s="997"/>
      <c r="AG39" s="963"/>
      <c r="AH39" s="614"/>
    </row>
    <row r="40" spans="1:34" x14ac:dyDescent="0.25">
      <c r="A40" s="681"/>
      <c r="B40" s="979"/>
      <c r="C40" s="946"/>
      <c r="D40" s="618"/>
      <c r="E40" s="979"/>
      <c r="F40" s="953"/>
      <c r="G40" s="976"/>
      <c r="H40" s="953"/>
      <c r="I40" s="618"/>
      <c r="J40" s="979"/>
      <c r="K40" s="953"/>
      <c r="L40" s="960"/>
      <c r="M40" s="982"/>
      <c r="N40" s="953"/>
      <c r="O40" s="976"/>
      <c r="P40" s="946"/>
      <c r="Q40" s="986"/>
      <c r="R40" s="938"/>
      <c r="S40" s="976"/>
      <c r="T40" s="938"/>
      <c r="U40" s="986"/>
      <c r="V40" s="938"/>
      <c r="W40" s="991"/>
      <c r="X40" s="938"/>
      <c r="Y40" s="991"/>
      <c r="Z40" s="938"/>
      <c r="AA40" s="986"/>
      <c r="AB40" s="938"/>
      <c r="AC40" s="991"/>
      <c r="AD40" s="938"/>
      <c r="AE40" s="994"/>
      <c r="AF40" s="997"/>
      <c r="AG40" s="963"/>
      <c r="AH40" s="614"/>
    </row>
    <row r="41" spans="1:34" x14ac:dyDescent="0.25">
      <c r="A41" s="681"/>
      <c r="B41" s="979"/>
      <c r="C41" s="946"/>
      <c r="D41" s="618"/>
      <c r="E41" s="979"/>
      <c r="F41" s="953"/>
      <c r="G41" s="976"/>
      <c r="H41" s="953"/>
      <c r="I41" s="618"/>
      <c r="J41" s="979"/>
      <c r="K41" s="953"/>
      <c r="L41" s="960"/>
      <c r="M41" s="982"/>
      <c r="N41" s="953"/>
      <c r="O41" s="976"/>
      <c r="P41" s="946"/>
      <c r="Q41" s="986"/>
      <c r="R41" s="938"/>
      <c r="S41" s="976"/>
      <c r="T41" s="938"/>
      <c r="U41" s="986"/>
      <c r="V41" s="938"/>
      <c r="W41" s="991"/>
      <c r="X41" s="938"/>
      <c r="Y41" s="991"/>
      <c r="Z41" s="938"/>
      <c r="AA41" s="986"/>
      <c r="AB41" s="938"/>
      <c r="AC41" s="991"/>
      <c r="AD41" s="938"/>
      <c r="AE41" s="994"/>
      <c r="AF41" s="997"/>
      <c r="AG41" s="963"/>
      <c r="AH41" s="614"/>
    </row>
    <row r="42" spans="1:34" ht="15.75" thickBot="1" x14ac:dyDescent="0.3">
      <c r="A42" s="682"/>
      <c r="B42" s="1000"/>
      <c r="C42" s="948"/>
      <c r="D42" s="675"/>
      <c r="E42" s="999"/>
      <c r="F42" s="954"/>
      <c r="G42" s="977"/>
      <c r="H42" s="954"/>
      <c r="I42" s="624"/>
      <c r="J42" s="980"/>
      <c r="K42" s="958"/>
      <c r="L42" s="961"/>
      <c r="M42" s="983"/>
      <c r="N42" s="954"/>
      <c r="O42" s="985"/>
      <c r="P42" s="947"/>
      <c r="Q42" s="987"/>
      <c r="R42" s="939"/>
      <c r="S42" s="988"/>
      <c r="T42" s="940"/>
      <c r="U42" s="987"/>
      <c r="V42" s="939"/>
      <c r="W42" s="992"/>
      <c r="X42" s="939"/>
      <c r="Y42" s="992"/>
      <c r="Z42" s="939"/>
      <c r="AA42" s="987"/>
      <c r="AB42" s="939"/>
      <c r="AC42" s="992"/>
      <c r="AD42" s="939"/>
      <c r="AE42" s="995"/>
      <c r="AF42" s="998"/>
      <c r="AG42" s="1108"/>
      <c r="AH42" s="614"/>
    </row>
    <row r="43" spans="1:34" ht="15.75" thickBot="1" x14ac:dyDescent="0.3">
      <c r="A43" s="1285" t="s">
        <v>102</v>
      </c>
      <c r="B43" s="1284"/>
      <c r="C43" s="1277"/>
      <c r="D43" s="669" t="s">
        <v>103</v>
      </c>
      <c r="E43" s="669" t="s">
        <v>61</v>
      </c>
      <c r="F43" s="955" t="s">
        <v>103</v>
      </c>
      <c r="G43" s="1276" t="s">
        <v>103</v>
      </c>
      <c r="H43" s="1277"/>
      <c r="I43" s="1286" t="s">
        <v>102</v>
      </c>
      <c r="J43" s="1287"/>
      <c r="K43" s="1288"/>
      <c r="L43" s="1283" t="s">
        <v>102</v>
      </c>
      <c r="M43" s="1284"/>
      <c r="N43" s="1277"/>
      <c r="O43" s="1286" t="s">
        <v>104</v>
      </c>
      <c r="P43" s="1288"/>
      <c r="Q43" s="1276" t="s">
        <v>104</v>
      </c>
      <c r="R43" s="1277"/>
      <c r="S43" s="1276" t="s">
        <v>104</v>
      </c>
      <c r="T43" s="1277"/>
      <c r="U43" s="1276" t="s">
        <v>104</v>
      </c>
      <c r="V43" s="1277"/>
      <c r="W43" s="1276" t="s">
        <v>104</v>
      </c>
      <c r="X43" s="1277"/>
      <c r="Y43" s="1276" t="s">
        <v>104</v>
      </c>
      <c r="Z43" s="1277"/>
      <c r="AA43" s="1276" t="s">
        <v>102</v>
      </c>
      <c r="AB43" s="1277"/>
      <c r="AC43" s="1276" t="s">
        <v>102</v>
      </c>
      <c r="AD43" s="1277"/>
      <c r="AE43" s="1283" t="s">
        <v>102</v>
      </c>
      <c r="AF43" s="1284"/>
      <c r="AG43" s="1277"/>
      <c r="AH43" s="614"/>
    </row>
    <row r="44" spans="1:34" x14ac:dyDescent="0.25">
      <c r="A44" s="872">
        <f>SUM(A3:A42)</f>
        <v>0</v>
      </c>
      <c r="B44" s="626"/>
      <c r="C44" s="949">
        <f>SUM(C3:C42)</f>
        <v>0</v>
      </c>
      <c r="D44" s="950">
        <f>SUM(D3:D42)</f>
        <v>0</v>
      </c>
      <c r="E44" s="629">
        <v>0</v>
      </c>
      <c r="F44" s="956">
        <f>SUM(F3:F42)</f>
        <v>0</v>
      </c>
      <c r="G44" s="936">
        <f>SUM(G3:G42)</f>
        <v>0</v>
      </c>
      <c r="H44" s="957">
        <f>SUM(H3:H42)</f>
        <v>0</v>
      </c>
      <c r="I44" s="936">
        <f>SUM(I3:I42)</f>
        <v>0</v>
      </c>
      <c r="J44" s="629"/>
      <c r="K44" s="957">
        <f>SUM(K3:K42)</f>
        <v>0</v>
      </c>
      <c r="L44" s="962">
        <f>SUM(L3:L42)</f>
        <v>0</v>
      </c>
      <c r="M44" s="873" t="s">
        <v>49</v>
      </c>
      <c r="N44" s="956" t="s">
        <v>46</v>
      </c>
      <c r="O44" s="1045">
        <f>O3+O5</f>
        <v>245</v>
      </c>
      <c r="P44" s="1078" t="s">
        <v>395</v>
      </c>
      <c r="Q44" s="1045">
        <f>SUM(Q3:Q38)</f>
        <v>0</v>
      </c>
      <c r="R44" s="1078" t="s">
        <v>103</v>
      </c>
      <c r="S44" s="1045">
        <f>SUM(S3:S42)</f>
        <v>0</v>
      </c>
      <c r="T44" s="1078" t="s">
        <v>103</v>
      </c>
      <c r="U44" s="1045">
        <f>SUM(U3:U42)</f>
        <v>0</v>
      </c>
      <c r="V44" s="1078" t="s">
        <v>103</v>
      </c>
      <c r="W44" s="1045">
        <f>SUM(W3:W42)</f>
        <v>0</v>
      </c>
      <c r="X44" s="1078" t="s">
        <v>103</v>
      </c>
      <c r="Y44" s="1045">
        <f>SUM(Y3:Y14)</f>
        <v>0</v>
      </c>
      <c r="Z44" s="1078" t="str">
        <f>Y2</f>
        <v>1</v>
      </c>
      <c r="AA44" s="1045">
        <f>SUM(AA3:AA14)</f>
        <v>0</v>
      </c>
      <c r="AB44" s="1078" t="str">
        <f>AA2</f>
        <v>4</v>
      </c>
      <c r="AC44" s="1045">
        <f>SUM(AC3:AC14)</f>
        <v>0</v>
      </c>
      <c r="AD44" s="1078" t="str">
        <f>AC2</f>
        <v>7</v>
      </c>
      <c r="AE44" s="962">
        <f>SUM(AE3:AE42)</f>
        <v>0</v>
      </c>
      <c r="AF44" s="629"/>
      <c r="AG44" s="957">
        <f>SUM(AG3:AG42)</f>
        <v>245</v>
      </c>
      <c r="AH44" s="614"/>
    </row>
    <row r="45" spans="1:34" x14ac:dyDescent="0.25">
      <c r="A45" s="634"/>
      <c r="B45" s="635"/>
      <c r="C45" s="935"/>
      <c r="D45" s="951"/>
      <c r="E45" s="635"/>
      <c r="F45" s="935"/>
      <c r="G45" s="951"/>
      <c r="H45" s="935"/>
      <c r="I45" s="951"/>
      <c r="J45" s="635"/>
      <c r="K45" s="935"/>
      <c r="L45" s="951"/>
      <c r="M45" s="1058">
        <f>N3+N4+N5+N6+N7+N8</f>
        <v>0</v>
      </c>
      <c r="N45" s="1059">
        <f>N5+N39+N40+N41+N42+N43</f>
        <v>0</v>
      </c>
      <c r="O45" s="1023">
        <v>0</v>
      </c>
      <c r="P45" s="935" t="s">
        <v>492</v>
      </c>
      <c r="Q45" s="1023">
        <v>320</v>
      </c>
      <c r="R45" s="935" t="str">
        <f>P45</f>
        <v>Duben</v>
      </c>
      <c r="S45" s="1023">
        <v>300</v>
      </c>
      <c r="T45" s="935" t="str">
        <f>P45</f>
        <v>Duben</v>
      </c>
      <c r="U45" s="1023">
        <v>200</v>
      </c>
      <c r="V45" s="935" t="str">
        <f>P45</f>
        <v>Duben</v>
      </c>
      <c r="W45" s="1024">
        <v>0</v>
      </c>
      <c r="X45" s="935" t="str">
        <f>P45</f>
        <v>Duben</v>
      </c>
      <c r="Y45" s="1024">
        <v>0</v>
      </c>
      <c r="Z45" s="935" t="str">
        <f>P45</f>
        <v>Duben</v>
      </c>
      <c r="AA45" s="1024">
        <v>0</v>
      </c>
      <c r="AB45" s="935" t="str">
        <f>P45</f>
        <v>Duben</v>
      </c>
      <c r="AC45" s="1024">
        <v>0</v>
      </c>
      <c r="AD45" s="935" t="str">
        <f>P45</f>
        <v>Duben</v>
      </c>
      <c r="AE45" s="951"/>
      <c r="AF45" s="635"/>
      <c r="AG45" s="935"/>
      <c r="AH45" s="614"/>
    </row>
    <row r="46" spans="1:34" ht="15.75" thickBot="1" x14ac:dyDescent="0.3">
      <c r="A46" s="969"/>
      <c r="B46" s="970"/>
      <c r="C46" s="971"/>
      <c r="D46" s="972"/>
      <c r="E46" s="970"/>
      <c r="F46" s="971"/>
      <c r="G46" s="972"/>
      <c r="H46" s="971"/>
      <c r="I46" s="972"/>
      <c r="J46" s="970"/>
      <c r="K46" s="971"/>
      <c r="L46" s="972"/>
      <c r="M46" s="970"/>
      <c r="N46" s="971"/>
      <c r="O46" s="973"/>
      <c r="P46" s="971" t="s">
        <v>355</v>
      </c>
      <c r="Q46" s="973">
        <f>Q44-Q45</f>
        <v>-320</v>
      </c>
      <c r="R46" s="971" t="str">
        <f>P46</f>
        <v xml:space="preserve">Květen </v>
      </c>
      <c r="S46" s="973">
        <f>S44-S45</f>
        <v>-300</v>
      </c>
      <c r="T46" s="971" t="str">
        <f>P46</f>
        <v xml:space="preserve">Květen </v>
      </c>
      <c r="U46" s="973">
        <f>U44-U45</f>
        <v>-200</v>
      </c>
      <c r="V46" s="971" t="str">
        <f>P46</f>
        <v xml:space="preserve">Květen </v>
      </c>
      <c r="W46" s="974">
        <f>W44-W45</f>
        <v>0</v>
      </c>
      <c r="X46" s="971" t="str">
        <f>P46</f>
        <v xml:space="preserve">Květen </v>
      </c>
      <c r="Y46" s="974">
        <f>Y44-Y45</f>
        <v>0</v>
      </c>
      <c r="Z46" s="971" t="str">
        <f>P46</f>
        <v xml:space="preserve">Květen </v>
      </c>
      <c r="AA46" s="974">
        <f>AA44-AA45</f>
        <v>0</v>
      </c>
      <c r="AB46" s="971" t="str">
        <f>P46</f>
        <v xml:space="preserve">Květen </v>
      </c>
      <c r="AC46" s="1022">
        <f>AC44-AC45</f>
        <v>0</v>
      </c>
      <c r="AD46" s="971" t="str">
        <f>P46</f>
        <v xml:space="preserve">Květen </v>
      </c>
      <c r="AE46" s="972"/>
      <c r="AF46" s="970"/>
      <c r="AG46" s="971"/>
      <c r="AH46" s="614"/>
    </row>
    <row r="47" spans="1:34" ht="15.75" thickTop="1" x14ac:dyDescent="0.25">
      <c r="A47" s="610"/>
      <c r="B47" s="610"/>
      <c r="C47" s="610"/>
      <c r="D47" s="610"/>
      <c r="E47" s="610"/>
      <c r="F47" s="610"/>
      <c r="G47" s="610"/>
      <c r="H47" s="610"/>
      <c r="I47" s="610"/>
      <c r="J47" s="610"/>
      <c r="K47" s="610"/>
      <c r="L47" s="610"/>
      <c r="M47" s="610"/>
      <c r="N47" s="610"/>
      <c r="O47" s="610"/>
      <c r="P47" s="610"/>
      <c r="Q47" s="1030"/>
      <c r="R47" s="1031"/>
      <c r="S47" s="1032" t="s">
        <v>589</v>
      </c>
      <c r="T47" s="610"/>
      <c r="U47" s="610"/>
      <c r="V47" s="610"/>
      <c r="W47" s="610"/>
      <c r="X47" s="610"/>
      <c r="Y47" s="1074">
        <f>SUM(Y16:Y27)</f>
        <v>0</v>
      </c>
      <c r="Z47" s="1078">
        <f>Y15</f>
        <v>2</v>
      </c>
      <c r="AA47" s="1045">
        <f>SUM(AA16:AA27)</f>
        <v>0</v>
      </c>
      <c r="AB47" s="1078">
        <f>AA15</f>
        <v>5</v>
      </c>
      <c r="AC47" s="1045">
        <f>SUM(AC16:AC27)</f>
        <v>0</v>
      </c>
      <c r="AD47" s="1078">
        <f>AC15</f>
        <v>8</v>
      </c>
      <c r="AE47" s="610"/>
      <c r="AF47" s="610"/>
      <c r="AG47" s="610"/>
    </row>
    <row r="48" spans="1:34" x14ac:dyDescent="0.25">
      <c r="Q48" s="1033"/>
      <c r="R48" s="1034"/>
      <c r="S48" s="1035"/>
      <c r="X48" s="610"/>
      <c r="Y48" s="1076">
        <v>0</v>
      </c>
      <c r="Z48" s="935" t="str">
        <f>P45</f>
        <v>Duben</v>
      </c>
      <c r="AA48" s="1024">
        <v>0</v>
      </c>
      <c r="AB48" s="935" t="str">
        <f>P45</f>
        <v>Duben</v>
      </c>
      <c r="AC48" s="1024">
        <v>0</v>
      </c>
      <c r="AD48" s="935" t="str">
        <f>P45</f>
        <v>Duben</v>
      </c>
    </row>
    <row r="49" spans="17:31" ht="15.75" thickBot="1" x14ac:dyDescent="0.3">
      <c r="Q49" s="1033"/>
      <c r="R49" s="1034"/>
      <c r="S49" s="1035"/>
      <c r="X49" s="610"/>
      <c r="Y49" s="1077">
        <f>Y47-Y48</f>
        <v>0</v>
      </c>
      <c r="Z49" s="971" t="str">
        <f>P46</f>
        <v xml:space="preserve">Květen </v>
      </c>
      <c r="AA49" s="974">
        <f>AA47-AA48</f>
        <v>0</v>
      </c>
      <c r="AB49" s="971" t="str">
        <f>P46</f>
        <v xml:space="preserve">Květen </v>
      </c>
      <c r="AC49" s="974">
        <f>AC47-AC48</f>
        <v>0</v>
      </c>
      <c r="AD49" s="971" t="str">
        <f>P46</f>
        <v xml:space="preserve">Květen </v>
      </c>
    </row>
    <row r="50" spans="17:31" ht="15.75" thickTop="1" x14ac:dyDescent="0.25">
      <c r="Q50" s="1033"/>
      <c r="R50" s="1034"/>
      <c r="S50" s="1035"/>
      <c r="X50" s="610"/>
      <c r="Y50" s="1074">
        <f>SUM(Y30:Y42)</f>
        <v>0</v>
      </c>
      <c r="Z50" s="1078">
        <f>Y28</f>
        <v>3</v>
      </c>
      <c r="AA50" s="1045">
        <f>SUM(AA30:AA42)</f>
        <v>0</v>
      </c>
      <c r="AB50" s="1078">
        <f>AA28</f>
        <v>6</v>
      </c>
      <c r="AC50" s="1045">
        <f>SUM(AC30:AC42)</f>
        <v>0</v>
      </c>
      <c r="AD50" s="1075">
        <f>AC28</f>
        <v>9</v>
      </c>
      <c r="AE50" s="610"/>
    </row>
    <row r="51" spans="17:31" x14ac:dyDescent="0.25">
      <c r="Q51" s="1033"/>
      <c r="R51" s="1033"/>
      <c r="S51" s="1035"/>
      <c r="X51" s="610"/>
      <c r="Y51" s="1076">
        <v>0</v>
      </c>
      <c r="Z51" s="935" t="str">
        <f>P45</f>
        <v>Duben</v>
      </c>
      <c r="AA51" s="1024">
        <v>0</v>
      </c>
      <c r="AB51" s="935" t="str">
        <f>P45</f>
        <v>Duben</v>
      </c>
      <c r="AC51" s="1024">
        <v>0</v>
      </c>
      <c r="AD51" s="935" t="str">
        <f>P45</f>
        <v>Duben</v>
      </c>
    </row>
    <row r="52" spans="17:31" ht="15.75" thickBot="1" x14ac:dyDescent="0.3">
      <c r="Q52" s="1036"/>
      <c r="R52" s="1034"/>
      <c r="S52" s="1035"/>
      <c r="X52" s="610"/>
      <c r="Y52" s="1077">
        <f>Y50-Y51</f>
        <v>0</v>
      </c>
      <c r="Z52" s="971" t="str">
        <f>P46</f>
        <v xml:space="preserve">Květen </v>
      </c>
      <c r="AA52" s="974">
        <f>AA50-AA51</f>
        <v>0</v>
      </c>
      <c r="AB52" s="971" t="str">
        <f>P46</f>
        <v xml:space="preserve">Květen </v>
      </c>
      <c r="AC52" s="974">
        <f>AC50-AC51</f>
        <v>0</v>
      </c>
      <c r="AD52" s="971" t="str">
        <f>P46</f>
        <v xml:space="preserve">Květen </v>
      </c>
    </row>
    <row r="53" spans="17:31" ht="15.75" thickTop="1" x14ac:dyDescent="0.25">
      <c r="Q53" s="1035"/>
      <c r="R53" s="1035"/>
      <c r="S53" s="1035"/>
    </row>
    <row r="54" spans="17:31" x14ac:dyDescent="0.25">
      <c r="Q54" s="1035"/>
      <c r="R54" s="1037"/>
      <c r="S54" s="1035"/>
    </row>
    <row r="55" spans="17:31" x14ac:dyDescent="0.25">
      <c r="Q55" s="1035"/>
      <c r="R55" s="1037"/>
      <c r="S55" s="1035"/>
    </row>
    <row r="56" spans="17:31" x14ac:dyDescent="0.25">
      <c r="Q56" s="1035"/>
      <c r="R56" s="1035"/>
      <c r="S56" s="1035"/>
    </row>
    <row r="57" spans="17:31" x14ac:dyDescent="0.25">
      <c r="Q57" s="1035"/>
      <c r="R57" s="1035"/>
      <c r="S57" s="1035"/>
    </row>
    <row r="58" spans="17:31" x14ac:dyDescent="0.25">
      <c r="Q58" s="1035"/>
      <c r="R58" s="1035"/>
      <c r="S58" s="1035"/>
    </row>
    <row r="59" spans="17:31" x14ac:dyDescent="0.25">
      <c r="Q59" s="1038"/>
      <c r="R59" s="1035"/>
      <c r="S59" s="1035"/>
    </row>
    <row r="60" spans="17:31" x14ac:dyDescent="0.25">
      <c r="Q60" s="1035"/>
      <c r="R60" s="1035"/>
      <c r="S60" s="1035"/>
    </row>
    <row r="61" spans="17:31" x14ac:dyDescent="0.25">
      <c r="R61" s="827"/>
    </row>
  </sheetData>
  <mergeCells count="25">
    <mergeCell ref="A1:F1"/>
    <mergeCell ref="G1:H1"/>
    <mergeCell ref="I1:K1"/>
    <mergeCell ref="L1:N1"/>
    <mergeCell ref="O1:P1"/>
    <mergeCell ref="Q43:R43"/>
    <mergeCell ref="AE1:AG1"/>
    <mergeCell ref="AH1:AI1"/>
    <mergeCell ref="AJ1:AK1"/>
    <mergeCell ref="AH4:AI4"/>
    <mergeCell ref="AJ4:AK4"/>
    <mergeCell ref="AH9:AI9"/>
    <mergeCell ref="Q1:AD1"/>
    <mergeCell ref="AE43:AG43"/>
    <mergeCell ref="S43:T43"/>
    <mergeCell ref="U43:V43"/>
    <mergeCell ref="W43:X43"/>
    <mergeCell ref="Y43:Z43"/>
    <mergeCell ref="AA43:AB43"/>
    <mergeCell ref="AC43:AD43"/>
    <mergeCell ref="A43:C43"/>
    <mergeCell ref="G43:H43"/>
    <mergeCell ref="I43:K43"/>
    <mergeCell ref="L43:N43"/>
    <mergeCell ref="O43:P43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F1EF9-2B0F-9749-A339-4E254B0AAB0B}">
  <dimension ref="A1:AG41"/>
  <sheetViews>
    <sheetView zoomScaleNormal="60" zoomScaleSheetLayoutView="100" workbookViewId="0">
      <selection activeCell="A3" sqref="A3"/>
    </sheetView>
  </sheetViews>
  <sheetFormatPr defaultColWidth="8.5703125" defaultRowHeight="15" x14ac:dyDescent="0.25"/>
  <cols>
    <col min="1" max="1" width="10.42578125" bestFit="1" customWidth="1"/>
    <col min="2" max="2" width="7.85546875" bestFit="1" customWidth="1"/>
    <col min="3" max="3" width="13.140625" bestFit="1" customWidth="1"/>
    <col min="4" max="4" width="11.85546875" customWidth="1"/>
    <col min="5" max="5" width="9" bestFit="1" customWidth="1"/>
    <col min="6" max="6" width="10.140625" bestFit="1" customWidth="1"/>
    <col min="7" max="7" width="10.28515625" bestFit="1" customWidth="1"/>
    <col min="8" max="8" width="9" bestFit="1" customWidth="1"/>
    <col min="9" max="9" width="10.5703125" bestFit="1" customWidth="1"/>
    <col min="10" max="11" width="9" bestFit="1" customWidth="1"/>
    <col min="12" max="12" width="7.42578125" bestFit="1" customWidth="1"/>
    <col min="13" max="13" width="9" bestFit="1" customWidth="1"/>
    <col min="14" max="14" width="11.42578125" bestFit="1" customWidth="1"/>
    <col min="15" max="15" width="13.42578125" customWidth="1"/>
    <col min="16" max="16" width="7.42578125" bestFit="1" customWidth="1"/>
    <col min="17" max="17" width="10.5703125" bestFit="1" customWidth="1"/>
    <col min="18" max="18" width="10.28515625" bestFit="1" customWidth="1"/>
    <col min="19" max="19" width="11.42578125" bestFit="1" customWidth="1"/>
    <col min="20" max="20" width="10.28515625" bestFit="1" customWidth="1"/>
    <col min="21" max="21" width="10.5703125" bestFit="1" customWidth="1"/>
    <col min="22" max="22" width="10.28515625" bestFit="1" customWidth="1"/>
    <col min="23" max="23" width="11.42578125" bestFit="1" customWidth="1"/>
    <col min="24" max="24" width="10.28515625" bestFit="1" customWidth="1"/>
    <col min="25" max="25" width="8.42578125" bestFit="1" customWidth="1"/>
    <col min="26" max="26" width="10.28515625" bestFit="1" customWidth="1"/>
    <col min="27" max="27" width="13.7109375" bestFit="1" customWidth="1"/>
    <col min="28" max="28" width="11.42578125" bestFit="1" customWidth="1"/>
    <col min="29" max="29" width="13.85546875" bestFit="1" customWidth="1"/>
    <col min="30" max="30" width="16.140625" style="30" customWidth="1"/>
    <col min="32" max="32" width="11.28515625" customWidth="1"/>
    <col min="33" max="33" width="11" customWidth="1"/>
  </cols>
  <sheetData>
    <row r="1" spans="1:33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42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2" t="s">
        <v>43</v>
      </c>
      <c r="AB1" s="1273"/>
      <c r="AC1" s="1274"/>
      <c r="AD1" s="1278" t="s">
        <v>44</v>
      </c>
      <c r="AE1" s="1279"/>
      <c r="AF1" s="1280" t="s">
        <v>45</v>
      </c>
      <c r="AG1" s="1281"/>
    </row>
    <row r="2" spans="1:33" ht="19.5" thickBot="1" x14ac:dyDescent="0.3">
      <c r="A2" s="749" t="s">
        <v>46</v>
      </c>
      <c r="B2" s="750" t="s">
        <v>47</v>
      </c>
      <c r="C2" s="751" t="s">
        <v>48</v>
      </c>
      <c r="D2" s="752" t="s">
        <v>280</v>
      </c>
      <c r="E2" s="750" t="s">
        <v>282</v>
      </c>
      <c r="F2" s="753" t="s">
        <v>49</v>
      </c>
      <c r="G2" s="750" t="s">
        <v>266</v>
      </c>
      <c r="H2" s="751" t="s">
        <v>267</v>
      </c>
      <c r="I2" s="754" t="s">
        <v>268</v>
      </c>
      <c r="J2" s="755" t="s">
        <v>269</v>
      </c>
      <c r="K2" s="751" t="s">
        <v>270</v>
      </c>
      <c r="L2" s="754" t="s">
        <v>50</v>
      </c>
      <c r="M2" s="755" t="s">
        <v>51</v>
      </c>
      <c r="N2" s="751" t="s">
        <v>52</v>
      </c>
      <c r="O2" s="752" t="s">
        <v>53</v>
      </c>
      <c r="P2" s="751" t="s">
        <v>279</v>
      </c>
      <c r="Q2" s="754" t="s">
        <v>54</v>
      </c>
      <c r="R2" s="753" t="s">
        <v>271</v>
      </c>
      <c r="S2" s="756" t="s">
        <v>55</v>
      </c>
      <c r="T2" s="751" t="s">
        <v>272</v>
      </c>
      <c r="U2" s="752" t="s">
        <v>305</v>
      </c>
      <c r="V2" s="753" t="s">
        <v>273</v>
      </c>
      <c r="W2" s="750" t="s">
        <v>304</v>
      </c>
      <c r="X2" s="751" t="s">
        <v>274</v>
      </c>
      <c r="Y2" s="752" t="s">
        <v>57</v>
      </c>
      <c r="Z2" s="751" t="s">
        <v>275</v>
      </c>
      <c r="AA2" s="754" t="s">
        <v>276</v>
      </c>
      <c r="AB2" s="755" t="s">
        <v>277</v>
      </c>
      <c r="AC2" s="757" t="s">
        <v>278</v>
      </c>
      <c r="AD2" s="622" t="s">
        <v>50</v>
      </c>
      <c r="AE2" s="287" t="s">
        <v>52</v>
      </c>
      <c r="AF2" s="286" t="s">
        <v>50</v>
      </c>
      <c r="AG2" s="288" t="s">
        <v>52</v>
      </c>
    </row>
    <row r="3" spans="1:33" ht="19.5" thickBot="1" x14ac:dyDescent="0.3">
      <c r="A3" s="692">
        <v>2470.1999999999998</v>
      </c>
      <c r="B3" s="758">
        <v>44199</v>
      </c>
      <c r="C3" s="759"/>
      <c r="D3" s="760">
        <v>85.12</v>
      </c>
      <c r="E3" s="761">
        <v>44200</v>
      </c>
      <c r="F3" s="762"/>
      <c r="G3" s="760">
        <v>20</v>
      </c>
      <c r="H3" s="763">
        <v>4.5999999999999996</v>
      </c>
      <c r="I3" s="762">
        <v>350</v>
      </c>
      <c r="J3" s="761">
        <v>44201</v>
      </c>
      <c r="K3" s="762"/>
      <c r="L3" s="764"/>
      <c r="M3" s="765" t="s">
        <v>291</v>
      </c>
      <c r="N3" s="766">
        <v>500</v>
      </c>
      <c r="O3" s="767">
        <f t="shared" ref="O3" si="0">AC35-AG6-AE3</f>
        <v>671.04</v>
      </c>
      <c r="P3" s="759"/>
      <c r="Q3" s="768">
        <v>100</v>
      </c>
      <c r="R3" s="769">
        <v>44202</v>
      </c>
      <c r="S3" s="767">
        <v>66</v>
      </c>
      <c r="T3" s="770">
        <v>44221</v>
      </c>
      <c r="U3" s="771">
        <v>100</v>
      </c>
      <c r="V3" s="770">
        <v>44202</v>
      </c>
      <c r="W3" s="768">
        <v>100</v>
      </c>
      <c r="X3" s="770">
        <v>44234</v>
      </c>
      <c r="Y3" s="772"/>
      <c r="Z3" s="770"/>
      <c r="AA3" s="764"/>
      <c r="AB3" s="761">
        <v>44201</v>
      </c>
      <c r="AC3" s="766">
        <v>1000</v>
      </c>
      <c r="AD3" s="773">
        <v>0</v>
      </c>
      <c r="AE3" s="774">
        <v>0</v>
      </c>
      <c r="AF3" s="775">
        <f>AD6+AF6</f>
        <v>3471.2</v>
      </c>
      <c r="AG3" s="776">
        <f>AG6+AE6</f>
        <v>3526.53</v>
      </c>
    </row>
    <row r="4" spans="1:33" ht="19.5" thickBot="1" x14ac:dyDescent="0.35">
      <c r="A4" s="659"/>
      <c r="B4" s="777"/>
      <c r="C4" s="778">
        <v>1001</v>
      </c>
      <c r="D4" s="779">
        <v>114</v>
      </c>
      <c r="E4" s="780">
        <v>44201</v>
      </c>
      <c r="F4" s="781"/>
      <c r="G4" s="779">
        <v>1.1000000000000001</v>
      </c>
      <c r="H4" s="782">
        <v>23.8</v>
      </c>
      <c r="I4" s="781"/>
      <c r="J4" s="780"/>
      <c r="K4" s="781"/>
      <c r="L4" s="783"/>
      <c r="M4" s="784" t="s">
        <v>306</v>
      </c>
      <c r="N4" s="785">
        <v>13.99</v>
      </c>
      <c r="O4" s="786"/>
      <c r="P4" s="778"/>
      <c r="Q4" s="787">
        <v>50</v>
      </c>
      <c r="R4" s="788">
        <v>44210</v>
      </c>
      <c r="S4" s="786">
        <v>10</v>
      </c>
      <c r="T4" s="789"/>
      <c r="U4" s="790">
        <v>100</v>
      </c>
      <c r="V4" s="789">
        <v>44208</v>
      </c>
      <c r="W4" s="787">
        <v>100</v>
      </c>
      <c r="X4" s="789"/>
      <c r="Y4" s="791"/>
      <c r="Z4" s="789"/>
      <c r="AA4" s="783"/>
      <c r="AB4" s="780">
        <v>44211</v>
      </c>
      <c r="AC4" s="785">
        <v>1000</v>
      </c>
      <c r="AD4" s="1282" t="s">
        <v>63</v>
      </c>
      <c r="AE4" s="1300"/>
      <c r="AF4" s="1246" t="s">
        <v>64</v>
      </c>
      <c r="AG4" s="1301"/>
    </row>
    <row r="5" spans="1:33" ht="18.75" x14ac:dyDescent="0.25">
      <c r="A5" s="659"/>
      <c r="B5" s="777"/>
      <c r="C5" s="778"/>
      <c r="D5" s="779">
        <v>81.05</v>
      </c>
      <c r="E5" s="780">
        <v>44204</v>
      </c>
      <c r="F5" s="781"/>
      <c r="G5" s="779">
        <v>19.5</v>
      </c>
      <c r="H5" s="782">
        <v>29.5</v>
      </c>
      <c r="I5" s="781"/>
      <c r="J5" s="780"/>
      <c r="K5" s="781"/>
      <c r="L5" s="783"/>
      <c r="M5" s="784"/>
      <c r="N5" s="785">
        <v>38.5</v>
      </c>
      <c r="O5" s="786"/>
      <c r="P5" s="778"/>
      <c r="Q5" s="787">
        <v>50</v>
      </c>
      <c r="R5" s="788">
        <v>44214</v>
      </c>
      <c r="S5" s="786">
        <v>100</v>
      </c>
      <c r="T5" s="789"/>
      <c r="U5" s="790">
        <v>100</v>
      </c>
      <c r="V5" s="789">
        <v>44214</v>
      </c>
      <c r="W5" s="787"/>
      <c r="X5" s="789"/>
      <c r="Y5" s="791"/>
      <c r="Z5" s="789"/>
      <c r="AA5" s="783"/>
      <c r="AB5" s="780" t="s">
        <v>299</v>
      </c>
      <c r="AC5" s="785">
        <v>250</v>
      </c>
      <c r="AD5" s="792" t="s">
        <v>50</v>
      </c>
      <c r="AE5" s="793" t="s">
        <v>52</v>
      </c>
      <c r="AF5" s="794" t="s">
        <v>50</v>
      </c>
      <c r="AG5" s="795" t="s">
        <v>52</v>
      </c>
    </row>
    <row r="6" spans="1:33" ht="19.5" thickBot="1" x14ac:dyDescent="0.3">
      <c r="A6" s="659"/>
      <c r="B6" s="777"/>
      <c r="C6" s="778"/>
      <c r="D6" s="779">
        <v>107.47</v>
      </c>
      <c r="E6" s="780">
        <v>44213</v>
      </c>
      <c r="F6" s="781"/>
      <c r="G6" s="779">
        <v>18.399999999999999</v>
      </c>
      <c r="H6" s="782">
        <v>2.2999999999999998</v>
      </c>
      <c r="I6" s="781"/>
      <c r="J6" s="780"/>
      <c r="K6" s="781"/>
      <c r="L6" s="783"/>
      <c r="M6" s="784"/>
      <c r="N6" s="785"/>
      <c r="O6" s="786"/>
      <c r="P6" s="778"/>
      <c r="Q6" s="787">
        <v>20</v>
      </c>
      <c r="R6" s="788"/>
      <c r="S6" s="786"/>
      <c r="T6" s="789"/>
      <c r="U6" s="790">
        <v>5</v>
      </c>
      <c r="V6" s="789"/>
      <c r="W6" s="787"/>
      <c r="X6" s="789"/>
      <c r="Y6" s="791"/>
      <c r="Z6" s="789"/>
      <c r="AA6" s="783"/>
      <c r="AB6" s="780" t="s">
        <v>302</v>
      </c>
      <c r="AC6" s="785">
        <v>1000</v>
      </c>
      <c r="AD6" s="796">
        <f>A35+L35</f>
        <v>2470.1999999999998</v>
      </c>
      <c r="AE6" s="797">
        <f>D35+H35+K35+N35</f>
        <v>697.57</v>
      </c>
      <c r="AF6" s="798">
        <f>L35+C35</f>
        <v>1001</v>
      </c>
      <c r="AG6" s="799">
        <f>F35+G35+I35+M35+Q35+S35+U35+W35+Y35</f>
        <v>2828.96</v>
      </c>
    </row>
    <row r="7" spans="1:33" ht="19.5" thickBot="1" x14ac:dyDescent="0.35">
      <c r="A7" s="659"/>
      <c r="B7" s="777"/>
      <c r="C7" s="778"/>
      <c r="D7" s="779">
        <v>99.83</v>
      </c>
      <c r="E7" s="780">
        <v>44217</v>
      </c>
      <c r="F7" s="781"/>
      <c r="G7" s="779">
        <v>2.9</v>
      </c>
      <c r="H7" s="782">
        <v>2.1</v>
      </c>
      <c r="I7" s="781"/>
      <c r="J7" s="780"/>
      <c r="K7" s="781"/>
      <c r="L7" s="783"/>
      <c r="M7" s="784"/>
      <c r="N7" s="785"/>
      <c r="O7" s="786"/>
      <c r="P7" s="778"/>
      <c r="Q7" s="787">
        <v>10</v>
      </c>
      <c r="R7" s="788"/>
      <c r="S7" s="786"/>
      <c r="T7" s="789"/>
      <c r="U7" s="790">
        <v>10</v>
      </c>
      <c r="V7" s="789"/>
      <c r="W7" s="787"/>
      <c r="X7" s="789"/>
      <c r="Y7" s="791"/>
      <c r="Z7" s="789"/>
      <c r="AA7" s="783"/>
      <c r="AB7" s="780" t="s">
        <v>299</v>
      </c>
      <c r="AC7" s="785">
        <v>250</v>
      </c>
      <c r="AD7" s="613" t="s">
        <v>66</v>
      </c>
      <c r="AE7" s="321" t="s">
        <v>67</v>
      </c>
      <c r="AF7" s="800"/>
      <c r="AG7" s="800"/>
    </row>
    <row r="8" spans="1:33" ht="18.75" x14ac:dyDescent="0.3">
      <c r="A8" s="659"/>
      <c r="B8" s="777"/>
      <c r="C8" s="778"/>
      <c r="D8" s="779">
        <v>100</v>
      </c>
      <c r="E8" s="780">
        <v>44218</v>
      </c>
      <c r="F8" s="781"/>
      <c r="G8" s="779"/>
      <c r="H8" s="782">
        <v>8.4</v>
      </c>
      <c r="I8" s="781"/>
      <c r="J8" s="780"/>
      <c r="K8" s="781"/>
      <c r="L8" s="783"/>
      <c r="M8" s="784"/>
      <c r="N8" s="785"/>
      <c r="O8" s="786"/>
      <c r="P8" s="778"/>
      <c r="Q8" s="787">
        <v>50</v>
      </c>
      <c r="R8" s="788"/>
      <c r="S8" s="786"/>
      <c r="T8" s="789"/>
      <c r="U8" s="790">
        <v>20</v>
      </c>
      <c r="V8" s="789"/>
      <c r="W8" s="787"/>
      <c r="X8" s="789"/>
      <c r="Y8" s="791"/>
      <c r="Z8" s="789"/>
      <c r="AA8" s="783"/>
      <c r="AB8" s="780"/>
      <c r="AC8" s="785"/>
      <c r="AD8" s="801">
        <v>0</v>
      </c>
      <c r="AE8" s="802">
        <f>E35</f>
        <v>0</v>
      </c>
      <c r="AF8" s="800"/>
      <c r="AG8" s="800"/>
    </row>
    <row r="9" spans="1:33" ht="19.5" thickBot="1" x14ac:dyDescent="0.35">
      <c r="A9" s="659"/>
      <c r="B9" s="777"/>
      <c r="C9" s="778"/>
      <c r="D9" s="779"/>
      <c r="E9" s="780">
        <v>44218</v>
      </c>
      <c r="F9" s="781">
        <v>100</v>
      </c>
      <c r="G9" s="779"/>
      <c r="H9" s="782">
        <v>16.3</v>
      </c>
      <c r="I9" s="781"/>
      <c r="J9" s="780"/>
      <c r="K9" s="781"/>
      <c r="L9" s="783"/>
      <c r="M9" s="784"/>
      <c r="N9" s="785"/>
      <c r="O9" s="786"/>
      <c r="P9" s="778"/>
      <c r="Q9" s="787">
        <v>20</v>
      </c>
      <c r="R9" s="788"/>
      <c r="S9" s="786"/>
      <c r="T9" s="789"/>
      <c r="U9" s="790">
        <v>20</v>
      </c>
      <c r="V9" s="789"/>
      <c r="W9" s="787"/>
      <c r="X9" s="789"/>
      <c r="Y9" s="791"/>
      <c r="Z9" s="789"/>
      <c r="AA9" s="783"/>
      <c r="AB9" s="780"/>
      <c r="AC9" s="785"/>
      <c r="AD9" s="1302">
        <f>AD8-AE8</f>
        <v>0</v>
      </c>
      <c r="AE9" s="1303"/>
      <c r="AF9" s="800"/>
      <c r="AG9" s="800"/>
    </row>
    <row r="10" spans="1:33" ht="18.75" x14ac:dyDescent="0.3">
      <c r="A10" s="659"/>
      <c r="B10" s="777"/>
      <c r="C10" s="778"/>
      <c r="D10" s="779"/>
      <c r="E10" s="780">
        <v>44225</v>
      </c>
      <c r="F10" s="781">
        <v>105.44</v>
      </c>
      <c r="G10" s="779"/>
      <c r="H10" s="782">
        <v>5.2</v>
      </c>
      <c r="I10" s="781"/>
      <c r="J10" s="780"/>
      <c r="K10" s="781"/>
      <c r="L10" s="783"/>
      <c r="M10" s="784"/>
      <c r="N10" s="785"/>
      <c r="O10" s="786"/>
      <c r="P10" s="778"/>
      <c r="Q10" s="787">
        <v>50</v>
      </c>
      <c r="R10" s="788">
        <v>44223</v>
      </c>
      <c r="S10" s="786"/>
      <c r="T10" s="789"/>
      <c r="U10" s="790">
        <v>45</v>
      </c>
      <c r="V10" s="789">
        <v>44223</v>
      </c>
      <c r="W10" s="787"/>
      <c r="X10" s="789"/>
      <c r="Y10" s="791"/>
      <c r="Z10" s="789"/>
      <c r="AA10" s="783"/>
      <c r="AB10" s="780"/>
      <c r="AC10" s="785"/>
      <c r="AD10" s="803"/>
      <c r="AE10" s="800"/>
      <c r="AF10" s="800"/>
      <c r="AG10" s="800"/>
    </row>
    <row r="11" spans="1:33" ht="18.75" x14ac:dyDescent="0.3">
      <c r="A11" s="659"/>
      <c r="B11" s="777"/>
      <c r="C11" s="778"/>
      <c r="D11" s="779"/>
      <c r="E11" s="780">
        <v>44232</v>
      </c>
      <c r="F11" s="781">
        <v>104</v>
      </c>
      <c r="G11" s="779"/>
      <c r="H11" s="782">
        <v>2.1</v>
      </c>
      <c r="I11" s="781"/>
      <c r="J11" s="780"/>
      <c r="K11" s="781"/>
      <c r="L11" s="783"/>
      <c r="M11" s="784"/>
      <c r="N11" s="785"/>
      <c r="O11" s="786"/>
      <c r="P11" s="778"/>
      <c r="Q11" s="787">
        <v>50</v>
      </c>
      <c r="R11" s="788">
        <v>44229</v>
      </c>
      <c r="S11" s="786"/>
      <c r="T11" s="789"/>
      <c r="U11" s="790">
        <v>50</v>
      </c>
      <c r="V11" s="789">
        <v>44229</v>
      </c>
      <c r="W11" s="787"/>
      <c r="X11" s="789"/>
      <c r="Y11" s="791"/>
      <c r="Z11" s="789"/>
      <c r="AA11" s="783"/>
      <c r="AB11" s="780"/>
      <c r="AC11" s="785"/>
      <c r="AD11" s="803"/>
      <c r="AE11" s="800"/>
      <c r="AF11" s="800"/>
      <c r="AG11" s="800"/>
    </row>
    <row r="12" spans="1:33" ht="18.75" x14ac:dyDescent="0.3">
      <c r="A12" s="659"/>
      <c r="B12" s="777"/>
      <c r="C12" s="778"/>
      <c r="D12" s="779"/>
      <c r="E12" s="780">
        <v>44240</v>
      </c>
      <c r="F12" s="781">
        <v>109.13</v>
      </c>
      <c r="G12" s="779"/>
      <c r="H12" s="782">
        <v>13.7</v>
      </c>
      <c r="I12" s="781"/>
      <c r="J12" s="780"/>
      <c r="K12" s="781"/>
      <c r="L12" s="783"/>
      <c r="M12" s="784"/>
      <c r="N12" s="785"/>
      <c r="O12" s="786"/>
      <c r="P12" s="778"/>
      <c r="Q12" s="787">
        <v>50</v>
      </c>
      <c r="R12" s="788"/>
      <c r="S12" s="786"/>
      <c r="T12" s="789"/>
      <c r="U12" s="790">
        <v>100</v>
      </c>
      <c r="V12" s="789">
        <v>44232</v>
      </c>
      <c r="W12" s="787"/>
      <c r="X12" s="789"/>
      <c r="Y12" s="791"/>
      <c r="Z12" s="789"/>
      <c r="AA12" s="783"/>
      <c r="AB12" s="780"/>
      <c r="AC12" s="785"/>
      <c r="AD12" s="803"/>
      <c r="AE12" s="800"/>
      <c r="AF12" s="800"/>
      <c r="AG12" s="800"/>
    </row>
    <row r="13" spans="1:33" ht="18.75" x14ac:dyDescent="0.3">
      <c r="A13" s="659"/>
      <c r="B13" s="777"/>
      <c r="C13" s="778"/>
      <c r="D13" s="779"/>
      <c r="E13" s="780"/>
      <c r="F13" s="781"/>
      <c r="G13" s="779"/>
      <c r="H13" s="782">
        <v>2.1</v>
      </c>
      <c r="I13" s="781"/>
      <c r="J13" s="780"/>
      <c r="K13" s="781"/>
      <c r="L13" s="783"/>
      <c r="M13" s="784"/>
      <c r="N13" s="785"/>
      <c r="O13" s="786"/>
      <c r="P13" s="778"/>
      <c r="Q13" s="787">
        <v>20</v>
      </c>
      <c r="R13" s="788"/>
      <c r="S13" s="786"/>
      <c r="T13" s="789"/>
      <c r="U13" s="790">
        <v>50</v>
      </c>
      <c r="V13" s="789"/>
      <c r="W13" s="787"/>
      <c r="X13" s="789"/>
      <c r="Y13" s="791"/>
      <c r="Z13" s="789"/>
      <c r="AA13" s="783"/>
      <c r="AB13" s="780"/>
      <c r="AC13" s="785"/>
      <c r="AD13" s="803"/>
      <c r="AE13" s="800"/>
      <c r="AF13" s="800"/>
      <c r="AG13" s="800"/>
    </row>
    <row r="14" spans="1:33" ht="18.75" x14ac:dyDescent="0.3">
      <c r="A14" s="659"/>
      <c r="B14" s="777"/>
      <c r="C14" s="778"/>
      <c r="D14" s="779"/>
      <c r="E14" s="780"/>
      <c r="F14" s="781"/>
      <c r="G14" s="779"/>
      <c r="H14" s="782"/>
      <c r="I14" s="781"/>
      <c r="J14" s="780"/>
      <c r="K14" s="781"/>
      <c r="L14" s="783"/>
      <c r="M14" s="784"/>
      <c r="N14" s="785"/>
      <c r="O14" s="786"/>
      <c r="P14" s="778"/>
      <c r="Q14" s="787"/>
      <c r="R14" s="788"/>
      <c r="S14" s="786"/>
      <c r="T14" s="789"/>
      <c r="U14" s="790"/>
      <c r="V14" s="789"/>
      <c r="W14" s="787"/>
      <c r="X14" s="789"/>
      <c r="Y14" s="791"/>
      <c r="Z14" s="789"/>
      <c r="AA14" s="783"/>
      <c r="AB14" s="780"/>
      <c r="AC14" s="785"/>
      <c r="AD14" s="803"/>
      <c r="AE14" s="800"/>
      <c r="AF14" s="800"/>
      <c r="AG14" s="800"/>
    </row>
    <row r="15" spans="1:33" ht="18.75" x14ac:dyDescent="0.3">
      <c r="A15" s="659"/>
      <c r="B15" s="777"/>
      <c r="C15" s="778"/>
      <c r="D15" s="779"/>
      <c r="E15" s="780"/>
      <c r="F15" s="781"/>
      <c r="G15" s="779"/>
      <c r="H15" s="782"/>
      <c r="I15" s="781"/>
      <c r="J15" s="780"/>
      <c r="K15" s="781"/>
      <c r="L15" s="783"/>
      <c r="M15" s="784"/>
      <c r="N15" s="785"/>
      <c r="O15" s="786"/>
      <c r="P15" s="778"/>
      <c r="Q15" s="787"/>
      <c r="R15" s="788"/>
      <c r="S15" s="786"/>
      <c r="T15" s="789"/>
      <c r="U15" s="790"/>
      <c r="V15" s="789"/>
      <c r="W15" s="787"/>
      <c r="X15" s="789"/>
      <c r="Y15" s="791"/>
      <c r="Z15" s="789"/>
      <c r="AA15" s="783"/>
      <c r="AB15" s="780"/>
      <c r="AC15" s="785"/>
      <c r="AD15" s="803"/>
      <c r="AE15" s="800"/>
      <c r="AF15" s="800"/>
      <c r="AG15" s="800"/>
    </row>
    <row r="16" spans="1:33" ht="18.75" x14ac:dyDescent="0.3">
      <c r="A16" s="659"/>
      <c r="B16" s="777"/>
      <c r="C16" s="778"/>
      <c r="D16" s="779"/>
      <c r="E16" s="780"/>
      <c r="F16" s="781"/>
      <c r="G16" s="779"/>
      <c r="H16" s="782"/>
      <c r="I16" s="781"/>
      <c r="J16" s="780"/>
      <c r="K16" s="781"/>
      <c r="L16" s="783"/>
      <c r="M16" s="784"/>
      <c r="N16" s="785"/>
      <c r="O16" s="786"/>
      <c r="P16" s="778"/>
      <c r="Q16" s="787"/>
      <c r="R16" s="788"/>
      <c r="S16" s="786"/>
      <c r="T16" s="789"/>
      <c r="U16" s="790"/>
      <c r="V16" s="789"/>
      <c r="W16" s="787"/>
      <c r="X16" s="789"/>
      <c r="Y16" s="791"/>
      <c r="Z16" s="789"/>
      <c r="AA16" s="783"/>
      <c r="AB16" s="780"/>
      <c r="AC16" s="785"/>
      <c r="AD16" s="803"/>
      <c r="AE16" s="800"/>
      <c r="AF16" s="800"/>
      <c r="AG16" s="800"/>
    </row>
    <row r="17" spans="1:33" ht="18.75" x14ac:dyDescent="0.3">
      <c r="A17" s="659"/>
      <c r="B17" s="777"/>
      <c r="C17" s="778"/>
      <c r="D17" s="779"/>
      <c r="E17" s="780"/>
      <c r="F17" s="781"/>
      <c r="G17" s="779"/>
      <c r="H17" s="782"/>
      <c r="I17" s="781"/>
      <c r="J17" s="780"/>
      <c r="K17" s="781"/>
      <c r="L17" s="783"/>
      <c r="M17" s="784"/>
      <c r="N17" s="785"/>
      <c r="O17" s="786"/>
      <c r="P17" s="778"/>
      <c r="Q17" s="787"/>
      <c r="R17" s="788"/>
      <c r="S17" s="786"/>
      <c r="T17" s="789"/>
      <c r="U17" s="790"/>
      <c r="V17" s="789"/>
      <c r="W17" s="787"/>
      <c r="X17" s="789"/>
      <c r="Y17" s="791"/>
      <c r="Z17" s="789"/>
      <c r="AA17" s="783"/>
      <c r="AB17" s="780"/>
      <c r="AC17" s="785"/>
      <c r="AD17" s="803"/>
      <c r="AE17" s="800"/>
      <c r="AF17" s="800"/>
      <c r="AG17" s="800"/>
    </row>
    <row r="18" spans="1:33" ht="18.75" x14ac:dyDescent="0.3">
      <c r="A18" s="659"/>
      <c r="B18" s="777"/>
      <c r="C18" s="778"/>
      <c r="D18" s="779"/>
      <c r="E18" s="780"/>
      <c r="F18" s="781"/>
      <c r="G18" s="779"/>
      <c r="H18" s="782"/>
      <c r="I18" s="781"/>
      <c r="J18" s="780"/>
      <c r="K18" s="781"/>
      <c r="L18" s="783"/>
      <c r="M18" s="784"/>
      <c r="N18" s="785"/>
      <c r="O18" s="786"/>
      <c r="P18" s="778"/>
      <c r="Q18" s="787"/>
      <c r="R18" s="788"/>
      <c r="S18" s="786"/>
      <c r="T18" s="789"/>
      <c r="U18" s="790"/>
      <c r="V18" s="789"/>
      <c r="W18" s="787"/>
      <c r="X18" s="789"/>
      <c r="Y18" s="791"/>
      <c r="Z18" s="789"/>
      <c r="AA18" s="783"/>
      <c r="AB18" s="780"/>
      <c r="AC18" s="785"/>
      <c r="AD18" s="803"/>
      <c r="AE18" s="800"/>
      <c r="AF18" s="800"/>
      <c r="AG18" s="800"/>
    </row>
    <row r="19" spans="1:33" ht="18.75" x14ac:dyDescent="0.3">
      <c r="A19" s="659"/>
      <c r="B19" s="777"/>
      <c r="C19" s="778"/>
      <c r="D19" s="779"/>
      <c r="E19" s="780"/>
      <c r="F19" s="781"/>
      <c r="G19" s="779"/>
      <c r="H19" s="782"/>
      <c r="I19" s="781"/>
      <c r="J19" s="780"/>
      <c r="K19" s="781"/>
      <c r="L19" s="783"/>
      <c r="M19" s="784"/>
      <c r="N19" s="785"/>
      <c r="O19" s="786"/>
      <c r="P19" s="778"/>
      <c r="Q19" s="787"/>
      <c r="R19" s="788"/>
      <c r="S19" s="786"/>
      <c r="T19" s="789"/>
      <c r="U19" s="790"/>
      <c r="V19" s="789"/>
      <c r="W19" s="787"/>
      <c r="X19" s="789"/>
      <c r="Y19" s="791"/>
      <c r="Z19" s="789"/>
      <c r="AA19" s="783"/>
      <c r="AB19" s="780"/>
      <c r="AC19" s="785"/>
      <c r="AD19" s="804"/>
      <c r="AE19" s="800"/>
      <c r="AF19" s="800"/>
      <c r="AG19" s="800"/>
    </row>
    <row r="20" spans="1:33" ht="18.75" x14ac:dyDescent="0.3">
      <c r="A20" s="659"/>
      <c r="B20" s="777"/>
      <c r="C20" s="778"/>
      <c r="D20" s="779"/>
      <c r="E20" s="780"/>
      <c r="F20" s="781"/>
      <c r="G20" s="779"/>
      <c r="H20" s="782"/>
      <c r="I20" s="781"/>
      <c r="J20" s="780"/>
      <c r="K20" s="781"/>
      <c r="L20" s="783"/>
      <c r="M20" s="784"/>
      <c r="N20" s="785"/>
      <c r="O20" s="786"/>
      <c r="P20" s="778"/>
      <c r="Q20" s="787"/>
      <c r="R20" s="788"/>
      <c r="S20" s="786"/>
      <c r="T20" s="789"/>
      <c r="U20" s="790"/>
      <c r="V20" s="789"/>
      <c r="W20" s="787"/>
      <c r="X20" s="789"/>
      <c r="Y20" s="791"/>
      <c r="Z20" s="789"/>
      <c r="AA20" s="783"/>
      <c r="AB20" s="780"/>
      <c r="AC20" s="785"/>
      <c r="AD20" s="804"/>
      <c r="AE20" s="800"/>
      <c r="AF20" s="800"/>
      <c r="AG20" s="800"/>
    </row>
    <row r="21" spans="1:33" ht="18.75" x14ac:dyDescent="0.3">
      <c r="A21" s="659"/>
      <c r="B21" s="777"/>
      <c r="C21" s="778"/>
      <c r="D21" s="779"/>
      <c r="E21" s="780"/>
      <c r="F21" s="781"/>
      <c r="G21" s="779"/>
      <c r="H21" s="782"/>
      <c r="I21" s="781"/>
      <c r="J21" s="780"/>
      <c r="K21" s="781"/>
      <c r="L21" s="783"/>
      <c r="M21" s="784"/>
      <c r="N21" s="785"/>
      <c r="O21" s="786"/>
      <c r="P21" s="778"/>
      <c r="Q21" s="787"/>
      <c r="R21" s="788"/>
      <c r="S21" s="786"/>
      <c r="T21" s="789"/>
      <c r="U21" s="790"/>
      <c r="V21" s="789"/>
      <c r="W21" s="787"/>
      <c r="X21" s="789"/>
      <c r="Y21" s="791"/>
      <c r="Z21" s="789"/>
      <c r="AA21" s="783"/>
      <c r="AB21" s="780"/>
      <c r="AC21" s="785"/>
      <c r="AD21" s="804"/>
      <c r="AE21" s="800"/>
      <c r="AF21" s="800"/>
      <c r="AG21" s="800"/>
    </row>
    <row r="22" spans="1:33" ht="18.75" x14ac:dyDescent="0.3">
      <c r="A22" s="659"/>
      <c r="B22" s="777"/>
      <c r="C22" s="778"/>
      <c r="D22" s="779"/>
      <c r="E22" s="780"/>
      <c r="F22" s="781"/>
      <c r="G22" s="779"/>
      <c r="H22" s="782"/>
      <c r="I22" s="781"/>
      <c r="J22" s="780"/>
      <c r="K22" s="781"/>
      <c r="L22" s="783"/>
      <c r="M22" s="784"/>
      <c r="N22" s="785"/>
      <c r="O22" s="786"/>
      <c r="P22" s="778"/>
      <c r="Q22" s="787"/>
      <c r="R22" s="788"/>
      <c r="S22" s="786"/>
      <c r="T22" s="789"/>
      <c r="U22" s="790"/>
      <c r="V22" s="789"/>
      <c r="W22" s="787"/>
      <c r="X22" s="789"/>
      <c r="Y22" s="791"/>
      <c r="Z22" s="789"/>
      <c r="AA22" s="783"/>
      <c r="AB22" s="780"/>
      <c r="AC22" s="785"/>
      <c r="AD22" s="804"/>
      <c r="AE22" s="800"/>
      <c r="AF22" s="800"/>
      <c r="AG22" s="800"/>
    </row>
    <row r="23" spans="1:33" ht="18.75" x14ac:dyDescent="0.3">
      <c r="A23" s="659"/>
      <c r="B23" s="777"/>
      <c r="C23" s="778"/>
      <c r="D23" s="779"/>
      <c r="E23" s="780"/>
      <c r="F23" s="781"/>
      <c r="G23" s="779"/>
      <c r="H23" s="782"/>
      <c r="I23" s="781"/>
      <c r="J23" s="780"/>
      <c r="K23" s="781"/>
      <c r="L23" s="783"/>
      <c r="M23" s="784"/>
      <c r="N23" s="785"/>
      <c r="O23" s="786"/>
      <c r="P23" s="778"/>
      <c r="Q23" s="787"/>
      <c r="R23" s="788"/>
      <c r="S23" s="786"/>
      <c r="T23" s="789"/>
      <c r="U23" s="790"/>
      <c r="V23" s="789"/>
      <c r="W23" s="787"/>
      <c r="X23" s="789"/>
      <c r="Y23" s="791"/>
      <c r="Z23" s="789"/>
      <c r="AA23" s="783"/>
      <c r="AB23" s="780"/>
      <c r="AC23" s="785"/>
      <c r="AD23" s="804"/>
      <c r="AE23" s="800"/>
      <c r="AF23" s="800"/>
      <c r="AG23" s="800"/>
    </row>
    <row r="24" spans="1:33" ht="18.75" x14ac:dyDescent="0.3">
      <c r="A24" s="659"/>
      <c r="B24" s="777"/>
      <c r="C24" s="778"/>
      <c r="D24" s="779"/>
      <c r="E24" s="780"/>
      <c r="F24" s="781"/>
      <c r="G24" s="779"/>
      <c r="H24" s="782"/>
      <c r="I24" s="781"/>
      <c r="J24" s="780"/>
      <c r="K24" s="781"/>
      <c r="L24" s="783"/>
      <c r="M24" s="784"/>
      <c r="N24" s="785"/>
      <c r="O24" s="786"/>
      <c r="P24" s="778"/>
      <c r="Q24" s="787"/>
      <c r="R24" s="788"/>
      <c r="S24" s="786"/>
      <c r="T24" s="789"/>
      <c r="U24" s="790"/>
      <c r="V24" s="789"/>
      <c r="W24" s="787"/>
      <c r="X24" s="789"/>
      <c r="Y24" s="791"/>
      <c r="Z24" s="789"/>
      <c r="AA24" s="783"/>
      <c r="AB24" s="780"/>
      <c r="AC24" s="785"/>
      <c r="AD24" s="804"/>
      <c r="AE24" s="800"/>
      <c r="AF24" s="800"/>
      <c r="AG24" s="800"/>
    </row>
    <row r="25" spans="1:33" ht="18.75" x14ac:dyDescent="0.3">
      <c r="A25" s="659"/>
      <c r="B25" s="777"/>
      <c r="C25" s="778"/>
      <c r="D25" s="779"/>
      <c r="E25" s="780"/>
      <c r="F25" s="781"/>
      <c r="G25" s="779"/>
      <c r="H25" s="782"/>
      <c r="I25" s="781"/>
      <c r="J25" s="780"/>
      <c r="K25" s="781"/>
      <c r="L25" s="783"/>
      <c r="M25" s="784"/>
      <c r="N25" s="785"/>
      <c r="O25" s="786"/>
      <c r="P25" s="778"/>
      <c r="Q25" s="787"/>
      <c r="R25" s="788"/>
      <c r="S25" s="786"/>
      <c r="T25" s="789"/>
      <c r="U25" s="790"/>
      <c r="V25" s="789"/>
      <c r="W25" s="787"/>
      <c r="X25" s="789"/>
      <c r="Y25" s="791"/>
      <c r="Z25" s="789"/>
      <c r="AA25" s="783"/>
      <c r="AB25" s="780"/>
      <c r="AC25" s="785"/>
      <c r="AD25" s="804"/>
      <c r="AE25" s="800"/>
      <c r="AF25" s="800"/>
      <c r="AG25" s="800"/>
    </row>
    <row r="26" spans="1:33" ht="18.75" x14ac:dyDescent="0.3">
      <c r="A26" s="659"/>
      <c r="B26" s="777"/>
      <c r="C26" s="778"/>
      <c r="D26" s="779"/>
      <c r="E26" s="780"/>
      <c r="F26" s="781"/>
      <c r="G26" s="779"/>
      <c r="H26" s="782"/>
      <c r="I26" s="781"/>
      <c r="J26" s="780"/>
      <c r="K26" s="781"/>
      <c r="L26" s="783"/>
      <c r="M26" s="784"/>
      <c r="N26" s="785"/>
      <c r="O26" s="786"/>
      <c r="P26" s="778"/>
      <c r="Q26" s="787"/>
      <c r="R26" s="788"/>
      <c r="S26" s="786"/>
      <c r="T26" s="789"/>
      <c r="U26" s="790"/>
      <c r="V26" s="789"/>
      <c r="W26" s="787"/>
      <c r="X26" s="789"/>
      <c r="Y26" s="791"/>
      <c r="Z26" s="789"/>
      <c r="AA26" s="783"/>
      <c r="AB26" s="780"/>
      <c r="AC26" s="785"/>
      <c r="AD26" s="804"/>
      <c r="AE26" s="800"/>
      <c r="AF26" s="800"/>
      <c r="AG26" s="800"/>
    </row>
    <row r="27" spans="1:33" ht="18.75" x14ac:dyDescent="0.3">
      <c r="A27" s="659"/>
      <c r="B27" s="777"/>
      <c r="C27" s="778"/>
      <c r="D27" s="779"/>
      <c r="E27" s="780"/>
      <c r="F27" s="781"/>
      <c r="G27" s="779"/>
      <c r="H27" s="782"/>
      <c r="I27" s="781"/>
      <c r="J27" s="780"/>
      <c r="K27" s="781"/>
      <c r="L27" s="783"/>
      <c r="M27" s="784"/>
      <c r="N27" s="785"/>
      <c r="O27" s="786"/>
      <c r="P27" s="778"/>
      <c r="Q27" s="787"/>
      <c r="R27" s="788"/>
      <c r="S27" s="786"/>
      <c r="T27" s="789"/>
      <c r="U27" s="790"/>
      <c r="V27" s="789"/>
      <c r="W27" s="787"/>
      <c r="X27" s="789"/>
      <c r="Y27" s="791"/>
      <c r="Z27" s="789"/>
      <c r="AA27" s="783"/>
      <c r="AB27" s="780"/>
      <c r="AC27" s="785"/>
      <c r="AD27" s="804"/>
      <c r="AE27" s="800"/>
      <c r="AF27" s="800"/>
      <c r="AG27" s="800"/>
    </row>
    <row r="28" spans="1:33" ht="18.75" x14ac:dyDescent="0.3">
      <c r="A28" s="659"/>
      <c r="B28" s="777"/>
      <c r="C28" s="778"/>
      <c r="D28" s="779"/>
      <c r="E28" s="780"/>
      <c r="F28" s="781"/>
      <c r="G28" s="779"/>
      <c r="H28" s="782"/>
      <c r="I28" s="781"/>
      <c r="J28" s="780"/>
      <c r="K28" s="781"/>
      <c r="L28" s="783"/>
      <c r="M28" s="784"/>
      <c r="N28" s="785"/>
      <c r="O28" s="786"/>
      <c r="P28" s="778"/>
      <c r="Q28" s="787"/>
      <c r="R28" s="788"/>
      <c r="S28" s="786"/>
      <c r="T28" s="789"/>
      <c r="U28" s="790"/>
      <c r="V28" s="789"/>
      <c r="W28" s="787"/>
      <c r="X28" s="789"/>
      <c r="Y28" s="791"/>
      <c r="Z28" s="789"/>
      <c r="AA28" s="783"/>
      <c r="AB28" s="780"/>
      <c r="AC28" s="785"/>
      <c r="AD28" s="804"/>
      <c r="AE28" s="800"/>
      <c r="AF28" s="800"/>
      <c r="AG28" s="800"/>
    </row>
    <row r="29" spans="1:33" ht="18.75" x14ac:dyDescent="0.3">
      <c r="A29" s="659"/>
      <c r="B29" s="777"/>
      <c r="C29" s="778"/>
      <c r="D29" s="779"/>
      <c r="E29" s="780"/>
      <c r="F29" s="781"/>
      <c r="G29" s="779"/>
      <c r="H29" s="782"/>
      <c r="I29" s="781"/>
      <c r="J29" s="780"/>
      <c r="K29" s="781"/>
      <c r="L29" s="783"/>
      <c r="M29" s="784"/>
      <c r="N29" s="785"/>
      <c r="O29" s="786"/>
      <c r="P29" s="778"/>
      <c r="Q29" s="787"/>
      <c r="R29" s="788"/>
      <c r="S29" s="786"/>
      <c r="T29" s="789"/>
      <c r="U29" s="790"/>
      <c r="V29" s="789"/>
      <c r="W29" s="787"/>
      <c r="X29" s="789"/>
      <c r="Y29" s="791"/>
      <c r="Z29" s="789"/>
      <c r="AA29" s="783"/>
      <c r="AB29" s="780"/>
      <c r="AC29" s="785"/>
      <c r="AD29" s="804"/>
      <c r="AE29" s="800"/>
      <c r="AF29" s="800"/>
      <c r="AG29" s="800"/>
    </row>
    <row r="30" spans="1:33" ht="18.75" x14ac:dyDescent="0.3">
      <c r="A30" s="659"/>
      <c r="B30" s="777"/>
      <c r="C30" s="778"/>
      <c r="D30" s="779"/>
      <c r="E30" s="780"/>
      <c r="F30" s="781"/>
      <c r="G30" s="779"/>
      <c r="H30" s="782"/>
      <c r="I30" s="781"/>
      <c r="J30" s="780"/>
      <c r="K30" s="781"/>
      <c r="L30" s="783"/>
      <c r="M30" s="784"/>
      <c r="N30" s="785"/>
      <c r="O30" s="786"/>
      <c r="P30" s="778"/>
      <c r="Q30" s="787"/>
      <c r="R30" s="788"/>
      <c r="S30" s="786"/>
      <c r="T30" s="789"/>
      <c r="U30" s="790"/>
      <c r="V30" s="789"/>
      <c r="W30" s="787"/>
      <c r="X30" s="789"/>
      <c r="Y30" s="791"/>
      <c r="Z30" s="789"/>
      <c r="AA30" s="783"/>
      <c r="AB30" s="780"/>
      <c r="AC30" s="785"/>
      <c r="AD30" s="804"/>
      <c r="AE30" s="800"/>
      <c r="AF30" s="800"/>
      <c r="AG30" s="800"/>
    </row>
    <row r="31" spans="1:33" ht="18.75" x14ac:dyDescent="0.3">
      <c r="A31" s="659"/>
      <c r="B31" s="777"/>
      <c r="C31" s="778"/>
      <c r="D31" s="779"/>
      <c r="E31" s="780"/>
      <c r="F31" s="781"/>
      <c r="G31" s="779"/>
      <c r="H31" s="782"/>
      <c r="I31" s="781"/>
      <c r="J31" s="780"/>
      <c r="K31" s="781"/>
      <c r="L31" s="783"/>
      <c r="M31" s="784"/>
      <c r="N31" s="785"/>
      <c r="O31" s="786"/>
      <c r="P31" s="778"/>
      <c r="Q31" s="787"/>
      <c r="R31" s="788"/>
      <c r="S31" s="786"/>
      <c r="T31" s="789"/>
      <c r="U31" s="790"/>
      <c r="V31" s="789"/>
      <c r="W31" s="787"/>
      <c r="X31" s="789"/>
      <c r="Y31" s="791"/>
      <c r="Z31" s="789"/>
      <c r="AA31" s="783"/>
      <c r="AB31" s="780"/>
      <c r="AC31" s="785"/>
      <c r="AD31" s="804"/>
      <c r="AE31" s="800"/>
      <c r="AF31" s="800"/>
      <c r="AG31" s="800"/>
    </row>
    <row r="32" spans="1:33" ht="18.75" x14ac:dyDescent="0.3">
      <c r="A32" s="659"/>
      <c r="B32" s="777"/>
      <c r="C32" s="778"/>
      <c r="D32" s="779"/>
      <c r="E32" s="780"/>
      <c r="F32" s="781"/>
      <c r="G32" s="779"/>
      <c r="H32" s="782"/>
      <c r="I32" s="781"/>
      <c r="J32" s="780"/>
      <c r="K32" s="781"/>
      <c r="L32" s="783"/>
      <c r="M32" s="784"/>
      <c r="N32" s="785"/>
      <c r="O32" s="786"/>
      <c r="P32" s="778"/>
      <c r="Q32" s="787"/>
      <c r="R32" s="788"/>
      <c r="S32" s="786"/>
      <c r="T32" s="789"/>
      <c r="U32" s="790"/>
      <c r="V32" s="789"/>
      <c r="W32" s="787"/>
      <c r="X32" s="789"/>
      <c r="Y32" s="791"/>
      <c r="Z32" s="789"/>
      <c r="AA32" s="783"/>
      <c r="AB32" s="780"/>
      <c r="AC32" s="785"/>
      <c r="AD32" s="804"/>
      <c r="AE32" s="800"/>
      <c r="AF32" s="800"/>
      <c r="AG32" s="800"/>
    </row>
    <row r="33" spans="1:33" ht="19.5" thickBot="1" x14ac:dyDescent="0.35">
      <c r="A33" s="660"/>
      <c r="B33" s="805"/>
      <c r="C33" s="806"/>
      <c r="D33" s="807"/>
      <c r="E33" s="808"/>
      <c r="F33" s="809"/>
      <c r="G33" s="807"/>
      <c r="H33" s="810"/>
      <c r="I33" s="811"/>
      <c r="J33" s="812"/>
      <c r="K33" s="811"/>
      <c r="L33" s="813"/>
      <c r="M33" s="814"/>
      <c r="N33" s="815"/>
      <c r="O33" s="816"/>
      <c r="P33" s="817"/>
      <c r="Q33" s="818"/>
      <c r="R33" s="819"/>
      <c r="S33" s="820"/>
      <c r="T33" s="821"/>
      <c r="U33" s="822"/>
      <c r="V33" s="823"/>
      <c r="W33" s="818"/>
      <c r="X33" s="823"/>
      <c r="Y33" s="824"/>
      <c r="Z33" s="823"/>
      <c r="AA33" s="813"/>
      <c r="AB33" s="825"/>
      <c r="AC33" s="815"/>
      <c r="AD33" s="804"/>
      <c r="AE33" s="800"/>
      <c r="AF33" s="800"/>
      <c r="AG33" s="800"/>
    </row>
    <row r="34" spans="1:33" ht="15.75" thickBot="1" x14ac:dyDescent="0.3">
      <c r="A34" s="1285" t="s">
        <v>102</v>
      </c>
      <c r="B34" s="1284"/>
      <c r="C34" s="1284"/>
      <c r="D34" s="668" t="s">
        <v>103</v>
      </c>
      <c r="E34" s="669" t="s">
        <v>61</v>
      </c>
      <c r="F34" s="670" t="s">
        <v>103</v>
      </c>
      <c r="G34" s="1285" t="s">
        <v>103</v>
      </c>
      <c r="H34" s="1284"/>
      <c r="I34" s="1305" t="s">
        <v>102</v>
      </c>
      <c r="J34" s="1287"/>
      <c r="K34" s="1287"/>
      <c r="L34" s="1306" t="s">
        <v>102</v>
      </c>
      <c r="M34" s="1284"/>
      <c r="N34" s="1284"/>
      <c r="O34" s="1305" t="s">
        <v>104</v>
      </c>
      <c r="P34" s="1307"/>
      <c r="Q34" s="1276" t="s">
        <v>104</v>
      </c>
      <c r="R34" s="1299"/>
      <c r="S34" s="1276" t="s">
        <v>104</v>
      </c>
      <c r="T34" s="1299"/>
      <c r="U34" s="1276" t="s">
        <v>104</v>
      </c>
      <c r="V34" s="1284"/>
      <c r="W34" s="1285" t="s">
        <v>102</v>
      </c>
      <c r="X34" s="1304"/>
      <c r="Y34" s="1276" t="s">
        <v>102</v>
      </c>
      <c r="Z34" s="1304"/>
      <c r="AA34" s="1283" t="s">
        <v>102</v>
      </c>
      <c r="AB34" s="1284"/>
      <c r="AC34" s="1304"/>
      <c r="AD34" s="614"/>
    </row>
    <row r="35" spans="1:33" x14ac:dyDescent="0.25">
      <c r="A35" s="625">
        <f>SUM(A3:A33)</f>
        <v>2470.1999999999998</v>
      </c>
      <c r="B35" s="626"/>
      <c r="C35" s="627">
        <f>SUM(C3:C33)</f>
        <v>1001</v>
      </c>
      <c r="D35" s="628">
        <f>SUM(D3:D33)</f>
        <v>587.47</v>
      </c>
      <c r="E35" s="629">
        <v>0</v>
      </c>
      <c r="F35" s="630">
        <f>SUM(F3:F33)</f>
        <v>418.57</v>
      </c>
      <c r="G35" s="628">
        <f>SUM(G3:G33)</f>
        <v>61.9</v>
      </c>
      <c r="H35" s="630">
        <f>SUM(H3:H33)</f>
        <v>110.1</v>
      </c>
      <c r="I35" s="628">
        <f>SUM(I3:I33)</f>
        <v>350</v>
      </c>
      <c r="J35" s="629"/>
      <c r="K35" s="630">
        <f>SUM(K3:K33)</f>
        <v>0</v>
      </c>
      <c r="L35" s="631">
        <f>SUM(L3:L33)</f>
        <v>0</v>
      </c>
      <c r="M35" s="629">
        <f>N3+N4+N5+N6+N7+N8+N9+N10+N11+N12+N21+N22+N23+N24+N25+N26+N27+N28+N29</f>
        <v>552.49</v>
      </c>
      <c r="N35" s="630">
        <f>N30+N31+N32+N33</f>
        <v>0</v>
      </c>
      <c r="O35" s="628">
        <f>O3+O5</f>
        <v>671.04</v>
      </c>
      <c r="P35" s="632">
        <f>P3</f>
        <v>0</v>
      </c>
      <c r="Q35" s="628">
        <f>SUM(Q3:Q33)</f>
        <v>470</v>
      </c>
      <c r="R35" s="630">
        <v>0</v>
      </c>
      <c r="S35" s="628">
        <f>SUM(S3:S33)</f>
        <v>176</v>
      </c>
      <c r="T35" s="630">
        <v>0</v>
      </c>
      <c r="U35" s="628">
        <f>SUM(U3:U33)</f>
        <v>600</v>
      </c>
      <c r="V35" s="630">
        <v>0</v>
      </c>
      <c r="W35" s="628">
        <f>SUM(W3:W33)</f>
        <v>200</v>
      </c>
      <c r="X35" s="630"/>
      <c r="Y35" s="628">
        <f>SUM(Y3:Y33)</f>
        <v>0</v>
      </c>
      <c r="Z35" s="630"/>
      <c r="AA35" s="631">
        <f>SUM(AA3:AA33)</f>
        <v>0</v>
      </c>
      <c r="AB35" s="629"/>
      <c r="AC35" s="633">
        <f>SUM(AC3:AC33)</f>
        <v>3500</v>
      </c>
      <c r="AD35" s="614"/>
    </row>
    <row r="36" spans="1:33" x14ac:dyDescent="0.25">
      <c r="A36" s="634"/>
      <c r="B36" s="635"/>
      <c r="C36" s="636"/>
      <c r="D36" s="634"/>
      <c r="E36" s="635"/>
      <c r="F36" s="636"/>
      <c r="G36" s="634"/>
      <c r="H36" s="636"/>
      <c r="I36" s="634"/>
      <c r="J36" s="635"/>
      <c r="K36" s="636"/>
      <c r="L36" s="634"/>
      <c r="M36" s="635" t="s">
        <v>49</v>
      </c>
      <c r="N36" s="636" t="s">
        <v>46</v>
      </c>
      <c r="O36" s="634">
        <v>0</v>
      </c>
      <c r="P36" s="636" t="s">
        <v>263</v>
      </c>
      <c r="Q36" s="634">
        <v>0</v>
      </c>
      <c r="R36" s="636" t="s">
        <v>264</v>
      </c>
      <c r="S36" s="634">
        <v>0</v>
      </c>
      <c r="T36" s="636" t="s">
        <v>264</v>
      </c>
      <c r="U36" s="634">
        <v>0</v>
      </c>
      <c r="V36" s="636" t="s">
        <v>264</v>
      </c>
      <c r="W36" s="634">
        <v>0</v>
      </c>
      <c r="X36" s="636" t="s">
        <v>264</v>
      </c>
      <c r="Y36" s="634"/>
      <c r="Z36" s="636"/>
      <c r="AA36" s="634"/>
      <c r="AB36" s="635"/>
      <c r="AC36" s="637"/>
      <c r="AD36" s="614"/>
    </row>
    <row r="37" spans="1:33" ht="15.75" thickBot="1" x14ac:dyDescent="0.3">
      <c r="A37" s="638"/>
      <c r="B37" s="639"/>
      <c r="C37" s="640"/>
      <c r="D37" s="638"/>
      <c r="E37" s="639"/>
      <c r="F37" s="640"/>
      <c r="G37" s="638"/>
      <c r="H37" s="640"/>
      <c r="I37" s="638"/>
      <c r="J37" s="639"/>
      <c r="K37" s="640"/>
      <c r="L37" s="638"/>
      <c r="M37" s="639"/>
      <c r="N37" s="640"/>
      <c r="O37" s="638">
        <f>O35-O36</f>
        <v>671.04</v>
      </c>
      <c r="P37" s="640" t="s">
        <v>263</v>
      </c>
      <c r="Q37" s="638">
        <f>Q35-Q36</f>
        <v>470</v>
      </c>
      <c r="R37" s="640" t="s">
        <v>264</v>
      </c>
      <c r="S37" s="638">
        <f>S35-S36</f>
        <v>176</v>
      </c>
      <c r="T37" s="640" t="s">
        <v>264</v>
      </c>
      <c r="U37" s="638">
        <f>U35-U36</f>
        <v>600</v>
      </c>
      <c r="V37" s="640" t="s">
        <v>264</v>
      </c>
      <c r="W37" s="638">
        <f>W35-W36</f>
        <v>200</v>
      </c>
      <c r="X37" s="640" t="s">
        <v>264</v>
      </c>
      <c r="Y37" s="638"/>
      <c r="Z37" s="640"/>
      <c r="AA37" s="638"/>
      <c r="AB37" s="639"/>
      <c r="AC37" s="641"/>
      <c r="AD37" s="614"/>
    </row>
    <row r="38" spans="1:33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/>
      <c r="P38" s="610"/>
      <c r="Q38" s="831">
        <v>88</v>
      </c>
      <c r="R38" s="610"/>
      <c r="S38" s="610"/>
      <c r="T38" s="610"/>
      <c r="U38" s="826"/>
      <c r="V38" s="610"/>
      <c r="W38" s="610"/>
      <c r="X38" s="610"/>
      <c r="Y38" s="610"/>
      <c r="Z38" s="610"/>
      <c r="AA38" s="610"/>
      <c r="AB38" s="610"/>
      <c r="AC38" s="610"/>
    </row>
    <row r="39" spans="1:33" x14ac:dyDescent="0.25">
      <c r="Q39" s="30" t="s">
        <v>292</v>
      </c>
      <c r="S39" t="s">
        <v>298</v>
      </c>
    </row>
    <row r="40" spans="1:33" x14ac:dyDescent="0.25">
      <c r="Q40" s="30" t="s">
        <v>293</v>
      </c>
      <c r="S40" t="s">
        <v>298</v>
      </c>
    </row>
    <row r="41" spans="1:33" x14ac:dyDescent="0.25">
      <c r="Q41" s="832">
        <v>40000</v>
      </c>
    </row>
  </sheetData>
  <mergeCells count="23">
    <mergeCell ref="A34:C34"/>
    <mergeCell ref="G34:H34"/>
    <mergeCell ref="I34:K34"/>
    <mergeCell ref="L34:N34"/>
    <mergeCell ref="O34:P34"/>
    <mergeCell ref="Q34:R34"/>
    <mergeCell ref="AA1:AC1"/>
    <mergeCell ref="AD1:AE1"/>
    <mergeCell ref="AF1:AG1"/>
    <mergeCell ref="AD4:AE4"/>
    <mergeCell ref="AF4:AG4"/>
    <mergeCell ref="AD9:AE9"/>
    <mergeCell ref="Q1:Z1"/>
    <mergeCell ref="S34:T34"/>
    <mergeCell ref="U34:V34"/>
    <mergeCell ref="W34:X34"/>
    <mergeCell ref="Y34:Z34"/>
    <mergeCell ref="AA34:AC34"/>
    <mergeCell ref="A1:F1"/>
    <mergeCell ref="G1:H1"/>
    <mergeCell ref="I1:K1"/>
    <mergeCell ref="L1:N1"/>
    <mergeCell ref="O1:P1"/>
  </mergeCells>
  <pageMargins left="0.7" right="0.7" top="0.75" bottom="0.75" header="0.3" footer="0.3"/>
  <tableParts count="1">
    <tablePart r:id="rId1"/>
  </tableParts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1AFA02-4498-7D4F-BF96-4BBFEE8B6158}">
  <dimension ref="A1:U45"/>
  <sheetViews>
    <sheetView topLeftCell="O1" zoomScaleNormal="60" zoomScaleSheetLayoutView="100" workbookViewId="0">
      <selection activeCell="P5" sqref="P5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5" width="11.28515625" customWidth="1"/>
    <col min="6" max="6" width="7.85546875" customWidth="1"/>
    <col min="7" max="7" width="10" bestFit="1" customWidth="1"/>
    <col min="8" max="8" width="9.42578125" bestFit="1" customWidth="1"/>
    <col min="9" max="9" width="8" bestFit="1" customWidth="1"/>
    <col min="10" max="10" width="14.85546875" bestFit="1" customWidth="1"/>
    <col min="11" max="11" width="10.42578125" bestFit="1" customWidth="1"/>
    <col min="12" max="12" width="10.42578125" customWidth="1"/>
    <col min="13" max="13" width="8.42578125" bestFit="1" customWidth="1"/>
    <col min="14" max="14" width="20.140625" bestFit="1" customWidth="1"/>
    <col min="15" max="15" width="24.140625" customWidth="1"/>
    <col min="16" max="16" width="20.140625" bestFit="1" customWidth="1"/>
    <col min="17" max="17" width="8.7109375" bestFit="1" customWidth="1"/>
    <col min="18" max="18" width="13" bestFit="1" customWidth="1"/>
    <col min="19" max="19" width="10.42578125" bestFit="1" customWidth="1"/>
    <col min="20" max="20" width="10.28515625" bestFit="1" customWidth="1"/>
    <col min="21" max="21" width="8.5703125" style="643"/>
  </cols>
  <sheetData>
    <row r="1" spans="1:21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285</v>
      </c>
      <c r="G1" s="650" t="s">
        <v>4</v>
      </c>
      <c r="H1" s="650" t="s">
        <v>5</v>
      </c>
      <c r="I1" s="650" t="s">
        <v>6</v>
      </c>
      <c r="J1" s="650" t="s">
        <v>7</v>
      </c>
      <c r="K1" s="650" t="s">
        <v>265</v>
      </c>
      <c r="L1" s="650" t="s">
        <v>8</v>
      </c>
      <c r="M1" s="650" t="s">
        <v>129</v>
      </c>
      <c r="N1" s="650" t="s">
        <v>9</v>
      </c>
      <c r="O1" s="650" t="s">
        <v>155</v>
      </c>
      <c r="P1" s="650" t="s">
        <v>10</v>
      </c>
      <c r="Q1" s="650" t="s">
        <v>11</v>
      </c>
      <c r="R1" s="650" t="s">
        <v>12</v>
      </c>
      <c r="S1" s="650" t="s">
        <v>13</v>
      </c>
      <c r="T1" s="650" t="s">
        <v>14</v>
      </c>
      <c r="U1" s="642"/>
    </row>
    <row r="2" spans="1:21" ht="15.75" thickBot="1" x14ac:dyDescent="0.3">
      <c r="A2" s="651">
        <v>44228</v>
      </c>
      <c r="B2" s="656" t="str">
        <f t="shared" ref="B2:B35" si="0">CHOOSE(WEEKDAY(U2),"Po","Út","St","Čt","Pá","So","Ne")</f>
        <v>Po</v>
      </c>
      <c r="C2" s="748">
        <f>Tabulka41424[[#This Row],[DO]]-Tabulka41424[[#This Row],[OD]]-TIME(0,30,0)</f>
        <v>0.47916666666666663</v>
      </c>
      <c r="D2" s="745">
        <f t="shared" ref="D2:D35" si="1">M2*C2</f>
        <v>2.875</v>
      </c>
      <c r="E2" s="723">
        <v>0.29166666666666669</v>
      </c>
      <c r="F2" s="726">
        <v>0.79166666666666663</v>
      </c>
      <c r="G2" s="653" t="s">
        <v>303</v>
      </c>
      <c r="H2" s="656"/>
      <c r="I2" s="653" t="s">
        <v>301</v>
      </c>
      <c r="J2" s="656" t="s">
        <v>297</v>
      </c>
      <c r="K2" s="653" t="s">
        <v>300</v>
      </c>
      <c r="L2" s="656" t="s">
        <v>308</v>
      </c>
      <c r="M2" s="713">
        <v>6</v>
      </c>
      <c r="N2" s="734">
        <f>(N4+N6)</f>
        <v>5.3125000000000053</v>
      </c>
      <c r="O2" s="716">
        <f t="shared" ref="O2" si="2">O4+O6</f>
        <v>136.5</v>
      </c>
      <c r="P2" s="853">
        <v>47293</v>
      </c>
      <c r="Q2" s="644" t="s">
        <v>17</v>
      </c>
      <c r="R2" s="644" t="s">
        <v>309</v>
      </c>
      <c r="S2" s="645" t="s">
        <v>227</v>
      </c>
      <c r="T2" s="722">
        <f>S7*20</f>
        <v>0</v>
      </c>
      <c r="U2" s="642">
        <f t="shared" ref="U2:U32" si="3">WEEKDAY(A2,2)</f>
        <v>1</v>
      </c>
    </row>
    <row r="3" spans="1:21" ht="15.75" thickBot="1" x14ac:dyDescent="0.3">
      <c r="A3" s="651">
        <v>44229</v>
      </c>
      <c r="B3" s="657" t="str">
        <f t="shared" si="0"/>
        <v>Út</v>
      </c>
      <c r="C3" s="729">
        <f>Tabulka41424[[#This Row],[DO]]-Tabulka41424[[#This Row],[OD]]-TIME(0,30,0)</f>
        <v>0.47916666666666663</v>
      </c>
      <c r="D3" s="743">
        <f t="shared" si="1"/>
        <v>2.875</v>
      </c>
      <c r="E3" s="724">
        <v>0.29166666666666669</v>
      </c>
      <c r="F3" s="727">
        <v>0.79166666666666663</v>
      </c>
      <c r="G3" s="653" t="s">
        <v>303</v>
      </c>
      <c r="H3" s="657"/>
      <c r="I3" s="653" t="s">
        <v>301</v>
      </c>
      <c r="J3" s="656" t="s">
        <v>297</v>
      </c>
      <c r="K3" s="653" t="s">
        <v>300</v>
      </c>
      <c r="L3" s="656" t="s">
        <v>308</v>
      </c>
      <c r="M3" s="714">
        <v>6</v>
      </c>
      <c r="N3" s="711" t="s">
        <v>19</v>
      </c>
      <c r="O3" s="717" t="s">
        <v>19</v>
      </c>
      <c r="P3" s="738">
        <v>0</v>
      </c>
      <c r="Q3" s="611" t="s">
        <v>17</v>
      </c>
      <c r="R3" s="611" t="s">
        <v>210</v>
      </c>
      <c r="S3" s="646"/>
      <c r="T3" s="718"/>
      <c r="U3" s="642">
        <f t="shared" si="3"/>
        <v>2</v>
      </c>
    </row>
    <row r="4" spans="1:21" ht="15.75" thickBot="1" x14ac:dyDescent="0.3">
      <c r="A4" s="651">
        <v>44230</v>
      </c>
      <c r="B4" s="657" t="str">
        <f t="shared" si="0"/>
        <v>St</v>
      </c>
      <c r="C4" s="729">
        <f>Tabulka41424[[#This Row],[DO]]-Tabulka41424[[#This Row],[OD]]-TIME(0,30,0)</f>
        <v>0.47916666666666663</v>
      </c>
      <c r="D4" s="743">
        <f t="shared" si="1"/>
        <v>2.875</v>
      </c>
      <c r="E4" s="724">
        <v>0.29166666666666669</v>
      </c>
      <c r="F4" s="727">
        <v>0.79166666666666663</v>
      </c>
      <c r="G4" s="653" t="s">
        <v>303</v>
      </c>
      <c r="H4" s="657"/>
      <c r="I4" s="653" t="s">
        <v>301</v>
      </c>
      <c r="J4" s="656" t="s">
        <v>297</v>
      </c>
      <c r="K4" s="653" t="s">
        <v>300</v>
      </c>
      <c r="L4" s="656" t="s">
        <v>308</v>
      </c>
      <c r="M4" s="714">
        <v>6</v>
      </c>
      <c r="N4" s="735">
        <f>SUM(C2:C32)</f>
        <v>5.3125000000000053</v>
      </c>
      <c r="O4" s="717">
        <v>136.5</v>
      </c>
      <c r="P4" s="738">
        <v>0</v>
      </c>
      <c r="Q4" s="611" t="s">
        <v>17</v>
      </c>
      <c r="R4" s="611" t="s">
        <v>210</v>
      </c>
      <c r="S4" s="646"/>
      <c r="T4" s="718"/>
      <c r="U4" s="642">
        <f t="shared" si="3"/>
        <v>3</v>
      </c>
    </row>
    <row r="5" spans="1:21" ht="15.75" thickBot="1" x14ac:dyDescent="0.3">
      <c r="A5" s="651">
        <v>44231</v>
      </c>
      <c r="B5" s="657" t="str">
        <f t="shared" si="0"/>
        <v>Čt</v>
      </c>
      <c r="C5" s="729">
        <f>Tabulka41424[[#This Row],[DO]]-Tabulka41424[[#This Row],[OD]]-TIME(0,30,0)</f>
        <v>0.47916666666666663</v>
      </c>
      <c r="D5" s="743">
        <f t="shared" si="1"/>
        <v>2.875</v>
      </c>
      <c r="E5" s="724">
        <v>0.29166666666666669</v>
      </c>
      <c r="F5" s="727">
        <v>0.79166666666666663</v>
      </c>
      <c r="G5" s="653" t="s">
        <v>303</v>
      </c>
      <c r="H5" s="657"/>
      <c r="I5" s="653" t="s">
        <v>301</v>
      </c>
      <c r="J5" s="656" t="s">
        <v>297</v>
      </c>
      <c r="K5" s="653" t="s">
        <v>300</v>
      </c>
      <c r="L5" s="656" t="s">
        <v>308</v>
      </c>
      <c r="M5" s="714">
        <v>6</v>
      </c>
      <c r="N5" s="711" t="s">
        <v>14</v>
      </c>
      <c r="O5" s="717" t="s">
        <v>14</v>
      </c>
      <c r="P5" s="738">
        <v>27021</v>
      </c>
      <c r="Q5" s="611" t="s">
        <v>17</v>
      </c>
      <c r="R5" s="611" t="s">
        <v>310</v>
      </c>
      <c r="S5" s="646" t="s">
        <v>225</v>
      </c>
      <c r="T5" s="718"/>
      <c r="U5" s="642">
        <f t="shared" si="3"/>
        <v>4</v>
      </c>
    </row>
    <row r="6" spans="1:21" ht="15.75" thickBot="1" x14ac:dyDescent="0.3">
      <c r="A6" s="651">
        <v>44232</v>
      </c>
      <c r="B6" s="657" t="str">
        <f t="shared" si="0"/>
        <v>Pá</v>
      </c>
      <c r="C6" s="729">
        <f>Tabulka41424[[#This Row],[DO]]-Tabulka41424[[#This Row],[OD]]-TIME(0,30,0)</f>
        <v>0.47916666666666663</v>
      </c>
      <c r="D6" s="743">
        <f t="shared" si="1"/>
        <v>2.875</v>
      </c>
      <c r="E6" s="724">
        <v>0.29166666666666669</v>
      </c>
      <c r="F6" s="727">
        <v>0.79166666666666663</v>
      </c>
      <c r="G6" s="653" t="s">
        <v>303</v>
      </c>
      <c r="H6" s="657"/>
      <c r="I6" s="653" t="s">
        <v>301</v>
      </c>
      <c r="J6" s="656" t="s">
        <v>297</v>
      </c>
      <c r="K6" s="653" t="s">
        <v>300</v>
      </c>
      <c r="L6" s="656" t="s">
        <v>308</v>
      </c>
      <c r="M6" s="714">
        <v>6</v>
      </c>
      <c r="N6" s="735">
        <v>0</v>
      </c>
      <c r="O6" s="717">
        <v>0</v>
      </c>
      <c r="P6" s="852">
        <v>30000</v>
      </c>
      <c r="Q6" s="647" t="s">
        <v>49</v>
      </c>
      <c r="R6" s="647" t="s">
        <v>48</v>
      </c>
      <c r="S6" s="839">
        <v>44249</v>
      </c>
      <c r="T6" s="718"/>
      <c r="U6" s="642">
        <f t="shared" si="3"/>
        <v>5</v>
      </c>
    </row>
    <row r="7" spans="1:21" ht="15.75" thickBot="1" x14ac:dyDescent="0.3">
      <c r="A7" s="651">
        <v>44233</v>
      </c>
      <c r="B7" s="657" t="str">
        <f t="shared" si="0"/>
        <v>So</v>
      </c>
      <c r="C7" s="729">
        <f>Tabulka41424[[#This Row],[DO]]-Tabulka41424[[#This Row],[OD]]-TIME(0,30,0)</f>
        <v>0.3125</v>
      </c>
      <c r="D7" s="743">
        <f t="shared" si="1"/>
        <v>1.875</v>
      </c>
      <c r="E7" s="724">
        <v>0.29166666666666669</v>
      </c>
      <c r="F7" s="727">
        <v>0.625</v>
      </c>
      <c r="G7" s="653" t="s">
        <v>303</v>
      </c>
      <c r="H7" s="657"/>
      <c r="I7" s="653" t="s">
        <v>301</v>
      </c>
      <c r="J7" s="656" t="s">
        <v>297</v>
      </c>
      <c r="K7" s="653" t="s">
        <v>300</v>
      </c>
      <c r="L7" s="656" t="s">
        <v>308</v>
      </c>
      <c r="M7" s="714">
        <v>6</v>
      </c>
      <c r="N7" s="711" t="s">
        <v>20</v>
      </c>
      <c r="O7" s="646" t="s">
        <v>20</v>
      </c>
      <c r="P7" s="721">
        <f>P3+P4</f>
        <v>0</v>
      </c>
      <c r="Q7" s="718"/>
      <c r="R7" s="718"/>
      <c r="S7" s="718"/>
      <c r="T7" s="718"/>
      <c r="U7" s="642">
        <f t="shared" si="3"/>
        <v>6</v>
      </c>
    </row>
    <row r="8" spans="1:21" ht="15.75" thickBot="1" x14ac:dyDescent="0.3">
      <c r="A8" s="651">
        <v>44234</v>
      </c>
      <c r="B8" s="657" t="str">
        <f t="shared" si="0"/>
        <v>Ne</v>
      </c>
      <c r="C8" s="729">
        <f>Tabulka41424[[#This Row],[DO]]-Tabulka41424[[#This Row],[OD]]-TIME(0,30,0)</f>
        <v>0.3125</v>
      </c>
      <c r="D8" s="743">
        <f t="shared" si="1"/>
        <v>1.875</v>
      </c>
      <c r="E8" s="724">
        <v>0.29166666666666669</v>
      </c>
      <c r="F8" s="727">
        <v>0.625</v>
      </c>
      <c r="G8" s="653" t="s">
        <v>303</v>
      </c>
      <c r="H8" s="657"/>
      <c r="I8" s="653" t="s">
        <v>301</v>
      </c>
      <c r="J8" s="656" t="s">
        <v>297</v>
      </c>
      <c r="K8" s="653" t="s">
        <v>300</v>
      </c>
      <c r="L8" s="656" t="s">
        <v>308</v>
      </c>
      <c r="M8" s="714">
        <v>6</v>
      </c>
      <c r="N8" s="711" t="s">
        <v>22</v>
      </c>
      <c r="O8" s="646" t="s">
        <v>22</v>
      </c>
      <c r="P8" s="657" t="s">
        <v>229</v>
      </c>
      <c r="Q8" s="718"/>
      <c r="R8" s="718"/>
      <c r="S8" s="718"/>
      <c r="T8" s="718"/>
      <c r="U8" s="642">
        <f t="shared" si="3"/>
        <v>7</v>
      </c>
    </row>
    <row r="9" spans="1:21" ht="15.75" thickBot="1" x14ac:dyDescent="0.3">
      <c r="A9" s="651">
        <v>44235</v>
      </c>
      <c r="B9" s="657" t="str">
        <f t="shared" si="0"/>
        <v>Po</v>
      </c>
      <c r="C9" s="729">
        <f>Tabulka41424[[#This Row],[DO]]-Tabulka41424[[#This Row],[OD]]-TIME(0,30,0)</f>
        <v>0.47916666666666663</v>
      </c>
      <c r="D9" s="743">
        <f t="shared" si="1"/>
        <v>2.875</v>
      </c>
      <c r="E9" s="724">
        <v>0.29166666666666669</v>
      </c>
      <c r="F9" s="727">
        <v>0.79166666666666663</v>
      </c>
      <c r="G9" s="653" t="s">
        <v>303</v>
      </c>
      <c r="H9" s="657"/>
      <c r="I9" s="653" t="s">
        <v>301</v>
      </c>
      <c r="J9" s="656" t="s">
        <v>297</v>
      </c>
      <c r="K9" s="653" t="s">
        <v>300</v>
      </c>
      <c r="L9" s="656" t="s">
        <v>308</v>
      </c>
      <c r="M9" s="714">
        <v>6</v>
      </c>
      <c r="N9" s="711" t="s">
        <v>23</v>
      </c>
      <c r="O9" s="646" t="s">
        <v>23</v>
      </c>
      <c r="P9" s="851">
        <f>SUM(P2:P4)</f>
        <v>47293</v>
      </c>
      <c r="Q9" s="718"/>
      <c r="R9" s="718"/>
      <c r="S9" s="718"/>
      <c r="T9" s="718"/>
      <c r="U9" s="642">
        <f t="shared" si="3"/>
        <v>1</v>
      </c>
    </row>
    <row r="10" spans="1:21" ht="15.75" thickBot="1" x14ac:dyDescent="0.3">
      <c r="A10" s="651">
        <v>44236</v>
      </c>
      <c r="B10" s="657" t="str">
        <f t="shared" si="0"/>
        <v>Út</v>
      </c>
      <c r="C10" s="729">
        <f>Tabulka41424[[#This Row],[DO]]-Tabulka41424[[#This Row],[OD]]-TIME(0,30,0)</f>
        <v>0.47916666666666663</v>
      </c>
      <c r="D10" s="743">
        <f t="shared" si="1"/>
        <v>2.875</v>
      </c>
      <c r="E10" s="724">
        <v>0.29166666666666669</v>
      </c>
      <c r="F10" s="727">
        <v>0.79166666666666663</v>
      </c>
      <c r="G10" s="653" t="s">
        <v>303</v>
      </c>
      <c r="H10" s="657"/>
      <c r="I10" s="653" t="s">
        <v>301</v>
      </c>
      <c r="J10" s="656" t="s">
        <v>297</v>
      </c>
      <c r="K10" s="653" t="s">
        <v>300</v>
      </c>
      <c r="L10" s="656" t="s">
        <v>308</v>
      </c>
      <c r="M10" s="714">
        <v>6</v>
      </c>
      <c r="N10" s="738">
        <f>(N2*24*360)+T2</f>
        <v>45900.000000000044</v>
      </c>
      <c r="O10" s="740">
        <f>SUM(O2*360)</f>
        <v>49140</v>
      </c>
      <c r="P10" s="719"/>
      <c r="Q10" s="718"/>
      <c r="R10" s="718"/>
      <c r="S10" s="718"/>
      <c r="T10" s="718"/>
      <c r="U10" s="642">
        <f t="shared" si="3"/>
        <v>2</v>
      </c>
    </row>
    <row r="11" spans="1:21" ht="15.75" thickBot="1" x14ac:dyDescent="0.3">
      <c r="A11" s="651">
        <v>44237</v>
      </c>
      <c r="B11" s="657" t="str">
        <f t="shared" si="0"/>
        <v>St</v>
      </c>
      <c r="C11" s="729">
        <f>Tabulka41424[[#This Row],[DO]]-Tabulka41424[[#This Row],[OD]]-TIME(0,30,0)</f>
        <v>0.47916666666666663</v>
      </c>
      <c r="D11" s="743">
        <f t="shared" si="1"/>
        <v>2.875</v>
      </c>
      <c r="E11" s="724">
        <v>0.29166666666666669</v>
      </c>
      <c r="F11" s="727">
        <v>0.79166666666666663</v>
      </c>
      <c r="G11" s="653" t="s">
        <v>303</v>
      </c>
      <c r="H11" s="657"/>
      <c r="I11" s="653" t="s">
        <v>301</v>
      </c>
      <c r="J11" s="656" t="s">
        <v>297</v>
      </c>
      <c r="K11" s="653" t="s">
        <v>300</v>
      </c>
      <c r="L11" s="656" t="s">
        <v>308</v>
      </c>
      <c r="M11" s="714">
        <v>6</v>
      </c>
      <c r="N11" s="711" t="s">
        <v>24</v>
      </c>
      <c r="O11" s="646" t="s">
        <v>24</v>
      </c>
      <c r="P11" s="718"/>
      <c r="Q11" s="718"/>
      <c r="R11" s="718"/>
      <c r="S11" s="718"/>
      <c r="T11" s="718"/>
      <c r="U11" s="642">
        <f t="shared" si="3"/>
        <v>3</v>
      </c>
    </row>
    <row r="12" spans="1:21" ht="15.75" thickBot="1" x14ac:dyDescent="0.3">
      <c r="A12" s="651">
        <v>44238</v>
      </c>
      <c r="B12" s="657" t="str">
        <f t="shared" si="0"/>
        <v>Čt</v>
      </c>
      <c r="C12" s="729">
        <f>Tabulka41424[[#This Row],[DO]]-Tabulka41424[[#This Row],[OD]]-TIME(0,30,0)</f>
        <v>0.47916666666666663</v>
      </c>
      <c r="D12" s="743">
        <f t="shared" si="1"/>
        <v>2.875</v>
      </c>
      <c r="E12" s="724">
        <v>0.29166666666666669</v>
      </c>
      <c r="F12" s="727">
        <v>0.79166666666666663</v>
      </c>
      <c r="G12" s="653" t="s">
        <v>303</v>
      </c>
      <c r="H12" s="657"/>
      <c r="I12" s="653" t="s">
        <v>301</v>
      </c>
      <c r="J12" s="656" t="s">
        <v>297</v>
      </c>
      <c r="K12" s="653" t="s">
        <v>300</v>
      </c>
      <c r="L12" s="656" t="s">
        <v>308</v>
      </c>
      <c r="M12" s="714">
        <v>6</v>
      </c>
      <c r="N12" s="738">
        <f>(N10+N20+N18-N22)-N14</f>
        <v>38455.462400000048</v>
      </c>
      <c r="O12" s="747">
        <f>(O10+O18+O20-O22)-O14</f>
        <v>41696.51</v>
      </c>
      <c r="P12" s="718"/>
      <c r="Q12" s="718"/>
      <c r="R12" s="718"/>
      <c r="S12" s="718"/>
      <c r="T12" s="718"/>
      <c r="U12" s="642">
        <f t="shared" si="3"/>
        <v>4</v>
      </c>
    </row>
    <row r="13" spans="1:21" ht="15.75" thickBot="1" x14ac:dyDescent="0.3">
      <c r="A13" s="651">
        <v>44239</v>
      </c>
      <c r="B13" s="657" t="str">
        <f t="shared" si="0"/>
        <v>Pá</v>
      </c>
      <c r="C13" s="729">
        <f>Tabulka41424[[#This Row],[DO]]-Tabulka41424[[#This Row],[OD]]-TIME(0,30,0)</f>
        <v>0.47916666666666663</v>
      </c>
      <c r="D13" s="743">
        <f t="shared" si="1"/>
        <v>2.875</v>
      </c>
      <c r="E13" s="724">
        <v>0.29166666666666669</v>
      </c>
      <c r="F13" s="727">
        <v>0.79166666666666663</v>
      </c>
      <c r="G13" s="653" t="s">
        <v>303</v>
      </c>
      <c r="H13" s="657"/>
      <c r="I13" s="653" t="s">
        <v>301</v>
      </c>
      <c r="J13" s="656" t="s">
        <v>297</v>
      </c>
      <c r="K13" s="653" t="s">
        <v>300</v>
      </c>
      <c r="L13" s="656" t="s">
        <v>308</v>
      </c>
      <c r="M13" s="714">
        <v>6</v>
      </c>
      <c r="N13" s="711" t="s">
        <v>26</v>
      </c>
      <c r="O13" s="747" t="s">
        <v>26</v>
      </c>
      <c r="P13" s="718"/>
      <c r="Q13" s="718"/>
      <c r="R13" s="718"/>
      <c r="S13" s="718"/>
      <c r="T13" s="718"/>
      <c r="U13" s="642">
        <f t="shared" si="3"/>
        <v>5</v>
      </c>
    </row>
    <row r="14" spans="1:21" ht="15.75" thickBot="1" x14ac:dyDescent="0.3">
      <c r="A14" s="651">
        <v>44240</v>
      </c>
      <c r="B14" s="657" t="str">
        <f t="shared" si="0"/>
        <v>So</v>
      </c>
      <c r="C14" s="729">
        <f>Tabulka41424[[#This Row],[DO]]-Tabulka41424[[#This Row],[OD]]-TIME(0,30,0)</f>
        <v>0.27083333333333337</v>
      </c>
      <c r="D14" s="743">
        <f t="shared" si="1"/>
        <v>1.6250000000000002</v>
      </c>
      <c r="E14" s="724">
        <v>0.33333333333333331</v>
      </c>
      <c r="F14" s="727">
        <v>0.625</v>
      </c>
      <c r="G14" s="653" t="s">
        <v>303</v>
      </c>
      <c r="H14" s="657"/>
      <c r="I14" s="653" t="s">
        <v>301</v>
      </c>
      <c r="J14" s="656" t="s">
        <v>297</v>
      </c>
      <c r="K14" s="653" t="s">
        <v>300</v>
      </c>
      <c r="L14" s="656" t="s">
        <v>308</v>
      </c>
      <c r="M14" s="714">
        <v>6</v>
      </c>
      <c r="N14" s="738">
        <f>(N16*26.19)</f>
        <v>7098.5375999999997</v>
      </c>
      <c r="O14" s="747">
        <f>(O16*26.19)</f>
        <v>7097.4900000000007</v>
      </c>
      <c r="P14" s="718"/>
      <c r="Q14" s="718"/>
      <c r="R14" s="718"/>
      <c r="S14" s="718"/>
      <c r="T14" s="718"/>
      <c r="U14" s="642">
        <f t="shared" si="3"/>
        <v>6</v>
      </c>
    </row>
    <row r="15" spans="1:21" ht="15.75" thickBot="1" x14ac:dyDescent="0.3">
      <c r="A15" s="651">
        <v>44241</v>
      </c>
      <c r="B15" s="657" t="str">
        <f t="shared" si="0"/>
        <v>Ne</v>
      </c>
      <c r="C15" s="729">
        <f>Tabulka41424[[#This Row],[DO]]-Tabulka41424[[#This Row],[OD]]-TIME(0,30,0)</f>
        <v>-2.0833333333333332E-2</v>
      </c>
      <c r="D15" s="743">
        <f t="shared" si="1"/>
        <v>0</v>
      </c>
      <c r="E15" s="724"/>
      <c r="F15" s="727"/>
      <c r="G15" s="654"/>
      <c r="H15" s="657"/>
      <c r="I15" s="654"/>
      <c r="J15" s="657"/>
      <c r="K15" s="654"/>
      <c r="L15" s="657" t="s">
        <v>16</v>
      </c>
      <c r="M15" s="714">
        <v>0</v>
      </c>
      <c r="N15" s="711" t="s">
        <v>29</v>
      </c>
      <c r="O15" s="646" t="s">
        <v>29</v>
      </c>
      <c r="P15" s="718"/>
      <c r="Q15" s="718"/>
      <c r="R15" s="718"/>
      <c r="S15" s="718"/>
      <c r="T15" s="718"/>
      <c r="U15" s="642">
        <f t="shared" si="3"/>
        <v>7</v>
      </c>
    </row>
    <row r="16" spans="1:21" ht="15.75" thickBot="1" x14ac:dyDescent="0.3">
      <c r="A16" s="651">
        <v>44242</v>
      </c>
      <c r="B16" s="657" t="str">
        <f t="shared" si="0"/>
        <v>Po</v>
      </c>
      <c r="C16" s="729">
        <f>Tabulka41424[[#This Row],[DO]]-Tabulka41424[[#This Row],[OD]]-TIME(0,30,0)</f>
        <v>-2.0833333333333332E-2</v>
      </c>
      <c r="D16" s="743">
        <f t="shared" si="1"/>
        <v>0</v>
      </c>
      <c r="E16" s="724"/>
      <c r="F16" s="727"/>
      <c r="G16" s="654"/>
      <c r="H16" s="657"/>
      <c r="I16" s="654"/>
      <c r="J16" s="657"/>
      <c r="K16" s="654"/>
      <c r="L16" s="657" t="s">
        <v>16</v>
      </c>
      <c r="M16" s="714">
        <v>0</v>
      </c>
      <c r="N16" s="741">
        <f>'01cash21'!O35-400</f>
        <v>271.03999999999996</v>
      </c>
      <c r="O16" s="742">
        <v>271</v>
      </c>
      <c r="P16" s="718"/>
      <c r="Q16" s="718"/>
      <c r="R16" s="718"/>
      <c r="S16" s="718"/>
      <c r="T16" s="718"/>
      <c r="U16" s="642">
        <f t="shared" si="3"/>
        <v>1</v>
      </c>
    </row>
    <row r="17" spans="1:21" ht="15.75" thickBot="1" x14ac:dyDescent="0.3">
      <c r="A17" s="651">
        <v>44243</v>
      </c>
      <c r="B17" s="657" t="str">
        <f t="shared" si="0"/>
        <v>Út</v>
      </c>
      <c r="C17" s="729">
        <f>Tabulka41424[[#This Row],[DO]]-Tabulka41424[[#This Row],[OD]]-TIME(0,30,0)</f>
        <v>-2.0833333333333332E-2</v>
      </c>
      <c r="D17" s="743">
        <f t="shared" si="1"/>
        <v>0</v>
      </c>
      <c r="E17" s="724"/>
      <c r="F17" s="727"/>
      <c r="G17" s="654"/>
      <c r="H17" s="657"/>
      <c r="I17" s="654"/>
      <c r="J17" s="657"/>
      <c r="K17" s="654"/>
      <c r="L17" s="657" t="s">
        <v>16</v>
      </c>
      <c r="M17" s="714">
        <v>0</v>
      </c>
      <c r="N17" s="711" t="s">
        <v>31</v>
      </c>
      <c r="O17" s="646" t="s">
        <v>31</v>
      </c>
      <c r="P17" s="718"/>
      <c r="Q17" s="718"/>
      <c r="R17" s="718"/>
      <c r="S17" s="718"/>
      <c r="T17" s="718"/>
      <c r="U17" s="642">
        <f t="shared" si="3"/>
        <v>2</v>
      </c>
    </row>
    <row r="18" spans="1:21" ht="15.75" thickBot="1" x14ac:dyDescent="0.3">
      <c r="A18" s="651">
        <v>44244</v>
      </c>
      <c r="B18" s="657" t="str">
        <f t="shared" si="0"/>
        <v>St</v>
      </c>
      <c r="C18" s="729">
        <f>Tabulka41424[[#This Row],[DO]]-Tabulka41424[[#This Row],[OD]]-TIME(0,30,0)</f>
        <v>-2.0833333333333332E-2</v>
      </c>
      <c r="D18" s="743">
        <f t="shared" si="1"/>
        <v>0</v>
      </c>
      <c r="E18" s="724"/>
      <c r="F18" s="727"/>
      <c r="G18" s="654"/>
      <c r="H18" s="657"/>
      <c r="I18" s="654"/>
      <c r="J18" s="657"/>
      <c r="K18" s="654"/>
      <c r="L18" s="657" t="s">
        <v>16</v>
      </c>
      <c r="M18" s="714">
        <v>0</v>
      </c>
      <c r="N18" s="738">
        <v>319</v>
      </c>
      <c r="O18" s="747">
        <v>319</v>
      </c>
      <c r="P18" s="718"/>
      <c r="Q18" s="718"/>
      <c r="R18" s="718"/>
      <c r="S18" s="718"/>
      <c r="T18" s="718"/>
      <c r="U18" s="642">
        <f t="shared" si="3"/>
        <v>3</v>
      </c>
    </row>
    <row r="19" spans="1:21" ht="15.75" thickBot="1" x14ac:dyDescent="0.3">
      <c r="A19" s="651">
        <v>44245</v>
      </c>
      <c r="B19" s="657" t="str">
        <f t="shared" si="0"/>
        <v>Čt</v>
      </c>
      <c r="C19" s="729">
        <f>Tabulka41424[[#This Row],[DO]]-Tabulka41424[[#This Row],[OD]]-TIME(0,30,0)</f>
        <v>-2.0833333333333332E-2</v>
      </c>
      <c r="D19" s="743">
        <f t="shared" si="1"/>
        <v>0</v>
      </c>
      <c r="E19" s="724"/>
      <c r="F19" s="727"/>
      <c r="G19" s="654"/>
      <c r="H19" s="657"/>
      <c r="I19" s="654"/>
      <c r="J19" s="657"/>
      <c r="K19" s="654"/>
      <c r="L19" s="657" t="s">
        <v>16</v>
      </c>
      <c r="M19" s="714">
        <v>0</v>
      </c>
      <c r="N19" s="738" t="s">
        <v>33</v>
      </c>
      <c r="O19" s="747" t="s">
        <v>33</v>
      </c>
      <c r="P19" s="718"/>
      <c r="Q19" s="718"/>
      <c r="R19" s="718"/>
      <c r="S19" s="718"/>
      <c r="T19" s="718"/>
      <c r="U19" s="642">
        <f t="shared" si="3"/>
        <v>4</v>
      </c>
    </row>
    <row r="20" spans="1:21" ht="15.75" thickBot="1" x14ac:dyDescent="0.3">
      <c r="A20" s="651">
        <v>44246</v>
      </c>
      <c r="B20" s="657" t="str">
        <f t="shared" si="0"/>
        <v>Pá</v>
      </c>
      <c r="C20" s="729">
        <f>Tabulka41424[[#This Row],[DO]]-Tabulka41424[[#This Row],[OD]]-TIME(0,30,0)</f>
        <v>-2.0833333333333332E-2</v>
      </c>
      <c r="D20" s="743">
        <f t="shared" si="1"/>
        <v>0</v>
      </c>
      <c r="E20" s="724"/>
      <c r="F20" s="727"/>
      <c r="G20" s="654"/>
      <c r="H20" s="657"/>
      <c r="I20" s="654"/>
      <c r="J20" s="657"/>
      <c r="K20" s="654"/>
      <c r="L20" s="657" t="s">
        <v>16</v>
      </c>
      <c r="M20" s="714">
        <v>0</v>
      </c>
      <c r="N20" s="738">
        <v>0</v>
      </c>
      <c r="O20" s="747">
        <v>0</v>
      </c>
      <c r="P20" s="718"/>
      <c r="Q20" s="718"/>
      <c r="R20" s="718"/>
      <c r="S20" s="718"/>
      <c r="T20" s="718"/>
      <c r="U20" s="642">
        <f t="shared" si="3"/>
        <v>5</v>
      </c>
    </row>
    <row r="21" spans="1:21" ht="15.75" thickBot="1" x14ac:dyDescent="0.3">
      <c r="A21" s="651">
        <v>44247</v>
      </c>
      <c r="B21" s="657" t="str">
        <f t="shared" si="0"/>
        <v>So</v>
      </c>
      <c r="C21" s="729">
        <f>Tabulka41424[[#This Row],[DO]]-Tabulka41424[[#This Row],[OD]]-TIME(0,30,0)</f>
        <v>-2.0833333333333332E-2</v>
      </c>
      <c r="D21" s="743">
        <f t="shared" si="1"/>
        <v>0</v>
      </c>
      <c r="E21" s="724"/>
      <c r="F21" s="727"/>
      <c r="G21" s="654"/>
      <c r="H21" s="657"/>
      <c r="I21" s="654"/>
      <c r="J21" s="657"/>
      <c r="K21" s="654"/>
      <c r="L21" s="657" t="s">
        <v>16</v>
      </c>
      <c r="M21" s="714">
        <v>0</v>
      </c>
      <c r="N21" s="738" t="s">
        <v>34</v>
      </c>
      <c r="O21" s="747" t="s">
        <v>34</v>
      </c>
      <c r="P21" s="718"/>
      <c r="Q21" s="718"/>
      <c r="R21" s="718"/>
      <c r="S21" s="718"/>
      <c r="T21" s="718"/>
      <c r="U21" s="642">
        <f t="shared" si="3"/>
        <v>6</v>
      </c>
    </row>
    <row r="22" spans="1:21" ht="15.75" thickBot="1" x14ac:dyDescent="0.3">
      <c r="A22" s="651">
        <v>44248</v>
      </c>
      <c r="B22" s="657" t="str">
        <f t="shared" si="0"/>
        <v>Ne</v>
      </c>
      <c r="C22" s="729">
        <f>Tabulka41424[[#This Row],[DO]]-Tabulka41424[[#This Row],[OD]]-TIME(0,30,0)</f>
        <v>-2.0833333333333332E-2</v>
      </c>
      <c r="D22" s="743">
        <f t="shared" si="1"/>
        <v>0</v>
      </c>
      <c r="E22" s="724"/>
      <c r="F22" s="727"/>
      <c r="G22" s="654"/>
      <c r="H22" s="657"/>
      <c r="I22" s="654"/>
      <c r="J22" s="657"/>
      <c r="K22" s="654"/>
      <c r="L22" s="657" t="s">
        <v>16</v>
      </c>
      <c r="M22" s="714">
        <v>0</v>
      </c>
      <c r="N22" s="738">
        <v>665</v>
      </c>
      <c r="O22" s="747">
        <v>665</v>
      </c>
      <c r="P22" s="718"/>
      <c r="Q22" s="718"/>
      <c r="R22" s="718"/>
      <c r="S22" s="718"/>
      <c r="T22" s="718"/>
      <c r="U22" s="642">
        <f t="shared" si="3"/>
        <v>7</v>
      </c>
    </row>
    <row r="23" spans="1:21" ht="15.75" thickBot="1" x14ac:dyDescent="0.3">
      <c r="A23" s="651">
        <v>44249</v>
      </c>
      <c r="B23" s="657" t="str">
        <f t="shared" si="0"/>
        <v>Po</v>
      </c>
      <c r="C23" s="729">
        <f>Tabulka41424[[#This Row],[DO]]-Tabulka41424[[#This Row],[OD]]-TIME(0,30,0)</f>
        <v>-2.0833333333333332E-2</v>
      </c>
      <c r="D23" s="743">
        <f t="shared" si="1"/>
        <v>0</v>
      </c>
      <c r="E23" s="724"/>
      <c r="F23" s="727"/>
      <c r="G23" s="654"/>
      <c r="H23" s="657"/>
      <c r="I23" s="654"/>
      <c r="J23" s="657"/>
      <c r="K23" s="654"/>
      <c r="L23" s="657" t="s">
        <v>16</v>
      </c>
      <c r="M23" s="714">
        <v>0</v>
      </c>
      <c r="N23" s="711" t="s">
        <v>35</v>
      </c>
      <c r="O23" s="646" t="s">
        <v>164</v>
      </c>
      <c r="P23" s="718"/>
      <c r="Q23" s="718"/>
      <c r="R23" s="718"/>
      <c r="S23" s="718"/>
      <c r="T23" s="718"/>
      <c r="U23" s="642">
        <f t="shared" si="3"/>
        <v>1</v>
      </c>
    </row>
    <row r="24" spans="1:21" ht="15.75" thickBot="1" x14ac:dyDescent="0.3">
      <c r="A24" s="651">
        <v>44250</v>
      </c>
      <c r="B24" s="657" t="str">
        <f t="shared" si="0"/>
        <v>Út</v>
      </c>
      <c r="C24" s="729">
        <f>Tabulka41424[[#This Row],[DO]]-Tabulka41424[[#This Row],[OD]]-TIME(0,30,0)</f>
        <v>-2.0833333333333332E-2</v>
      </c>
      <c r="D24" s="743">
        <f t="shared" si="1"/>
        <v>0</v>
      </c>
      <c r="E24" s="724"/>
      <c r="F24" s="727"/>
      <c r="G24" s="654"/>
      <c r="H24" s="657"/>
      <c r="I24" s="654"/>
      <c r="J24" s="657"/>
      <c r="K24" s="654"/>
      <c r="L24" s="657" t="s">
        <v>16</v>
      </c>
      <c r="M24" s="714">
        <v>0</v>
      </c>
      <c r="N24" s="739">
        <f>N12-P7+N28-P6</f>
        <v>77314.462400000048</v>
      </c>
      <c r="O24" s="740" t="e">
        <f>O12+N28-P5-P7-O26</f>
        <v>#VALUE!</v>
      </c>
      <c r="P24" s="718"/>
      <c r="Q24" s="718"/>
      <c r="R24" s="718"/>
      <c r="S24" s="718"/>
      <c r="T24" s="718"/>
      <c r="U24" s="642">
        <f t="shared" si="3"/>
        <v>2</v>
      </c>
    </row>
    <row r="25" spans="1:21" ht="15.75" thickBot="1" x14ac:dyDescent="0.3">
      <c r="A25" s="651">
        <v>44251</v>
      </c>
      <c r="B25" s="657" t="str">
        <f t="shared" si="0"/>
        <v>St</v>
      </c>
      <c r="C25" s="729">
        <f>Tabulka41424[[#This Row],[DO]]-Tabulka41424[[#This Row],[OD]]-TIME(0,30,0)</f>
        <v>-2.0833333333333332E-2</v>
      </c>
      <c r="D25" s="743">
        <f t="shared" si="1"/>
        <v>0</v>
      </c>
      <c r="E25" s="724"/>
      <c r="F25" s="727"/>
      <c r="G25" s="654"/>
      <c r="H25" s="657"/>
      <c r="I25" s="654"/>
      <c r="J25" s="657"/>
      <c r="K25" s="654"/>
      <c r="L25" s="657" t="s">
        <v>16</v>
      </c>
      <c r="M25" s="714">
        <v>0</v>
      </c>
      <c r="N25" s="711" t="s">
        <v>284</v>
      </c>
      <c r="O25" s="646"/>
      <c r="P25" s="718"/>
      <c r="Q25" s="718"/>
      <c r="R25" s="718"/>
      <c r="S25" s="718"/>
      <c r="T25" s="718"/>
      <c r="U25" s="642">
        <f t="shared" si="3"/>
        <v>3</v>
      </c>
    </row>
    <row r="26" spans="1:21" ht="15.75" thickBot="1" x14ac:dyDescent="0.3">
      <c r="A26" s="651">
        <v>44252</v>
      </c>
      <c r="B26" s="657" t="str">
        <f t="shared" si="0"/>
        <v>Čt</v>
      </c>
      <c r="C26" s="729">
        <f>Tabulka41424[[#This Row],[DO]]-Tabulka41424[[#This Row],[OD]]-TIME(0,30,0)</f>
        <v>-2.0833333333333332E-2</v>
      </c>
      <c r="D26" s="743">
        <f t="shared" si="1"/>
        <v>0</v>
      </c>
      <c r="E26" s="724"/>
      <c r="F26" s="727"/>
      <c r="G26" s="654"/>
      <c r="H26" s="657"/>
      <c r="I26" s="654"/>
      <c r="J26" s="657"/>
      <c r="K26" s="654"/>
      <c r="L26" s="657" t="s">
        <v>16</v>
      </c>
      <c r="M26" s="714">
        <v>0</v>
      </c>
      <c r="N26" s="738">
        <v>48649</v>
      </c>
      <c r="O26" s="740" t="e">
        <f>N26-Q6</f>
        <v>#VALUE!</v>
      </c>
      <c r="P26" s="718"/>
      <c r="Q26" s="718"/>
      <c r="R26" s="718"/>
      <c r="S26" s="718"/>
      <c r="T26" s="718"/>
      <c r="U26" s="642">
        <f t="shared" si="3"/>
        <v>4</v>
      </c>
    </row>
    <row r="27" spans="1:21" ht="15.75" thickBot="1" x14ac:dyDescent="0.3">
      <c r="A27" s="651">
        <v>44253</v>
      </c>
      <c r="B27" s="657" t="str">
        <f t="shared" si="0"/>
        <v>Pá</v>
      </c>
      <c r="C27" s="729">
        <f>Tabulka41424[[#This Row],[DO]]-Tabulka41424[[#This Row],[OD]]-TIME(0,30,0)</f>
        <v>-2.0833333333333332E-2</v>
      </c>
      <c r="D27" s="743">
        <f t="shared" si="1"/>
        <v>0</v>
      </c>
      <c r="E27" s="724"/>
      <c r="F27" s="727"/>
      <c r="G27" s="654"/>
      <c r="H27" s="657"/>
      <c r="I27" s="654"/>
      <c r="J27" s="657"/>
      <c r="K27" s="654"/>
      <c r="L27" s="657" t="s">
        <v>16</v>
      </c>
      <c r="M27" s="714">
        <v>0</v>
      </c>
      <c r="N27" s="711" t="s">
        <v>283</v>
      </c>
      <c r="O27" s="646"/>
      <c r="P27" s="718"/>
      <c r="Q27" s="718"/>
      <c r="R27" s="718"/>
      <c r="S27" s="718"/>
      <c r="T27" s="718"/>
      <c r="U27" s="642">
        <f t="shared" si="3"/>
        <v>5</v>
      </c>
    </row>
    <row r="28" spans="1:21" ht="15.75" thickBot="1" x14ac:dyDescent="0.3">
      <c r="A28" s="651">
        <v>44254</v>
      </c>
      <c r="B28" s="657" t="str">
        <f t="shared" si="0"/>
        <v>So</v>
      </c>
      <c r="C28" s="729">
        <f>Tabulka41424[[#This Row],[DO]]-Tabulka41424[[#This Row],[OD]]-TIME(0,30,0)</f>
        <v>-2.0833333333333332E-2</v>
      </c>
      <c r="D28" s="743">
        <f>M28*C28</f>
        <v>0</v>
      </c>
      <c r="E28" s="724"/>
      <c r="F28" s="727"/>
      <c r="G28" s="654"/>
      <c r="H28" s="657"/>
      <c r="I28" s="654"/>
      <c r="J28" s="657"/>
      <c r="K28" s="654"/>
      <c r="L28" s="657" t="s">
        <v>16</v>
      </c>
      <c r="M28" s="714">
        <v>0</v>
      </c>
      <c r="N28" s="739">
        <f>'01hod21'!O26</f>
        <v>68859</v>
      </c>
      <c r="O28" s="646"/>
      <c r="P28" s="718"/>
      <c r="Q28" s="718"/>
      <c r="R28" s="718"/>
      <c r="S28" s="718"/>
      <c r="T28" s="718"/>
      <c r="U28" s="642">
        <f t="shared" si="3"/>
        <v>6</v>
      </c>
    </row>
    <row r="29" spans="1:21" ht="15.75" thickBot="1" x14ac:dyDescent="0.3">
      <c r="A29" s="651">
        <v>44255</v>
      </c>
      <c r="B29" s="657" t="str">
        <f t="shared" si="0"/>
        <v>Ne</v>
      </c>
      <c r="C29" s="729">
        <f>Tabulka41424[[#This Row],[DO]]-Tabulka41424[[#This Row],[OD]]-TIME(0,30,0)</f>
        <v>-2.0833333333333332E-2</v>
      </c>
      <c r="D29" s="743">
        <f t="shared" si="1"/>
        <v>0</v>
      </c>
      <c r="E29" s="724"/>
      <c r="F29" s="727"/>
      <c r="G29" s="654"/>
      <c r="H29" s="657"/>
      <c r="I29" s="654"/>
      <c r="J29" s="657"/>
      <c r="K29" s="654"/>
      <c r="L29" s="657" t="s">
        <v>16</v>
      </c>
      <c r="M29" s="714">
        <v>0</v>
      </c>
      <c r="N29" s="712" t="s">
        <v>230</v>
      </c>
      <c r="O29" s="648"/>
      <c r="P29" s="718"/>
      <c r="Q29" s="718"/>
      <c r="R29" s="718"/>
      <c r="S29" s="718"/>
      <c r="T29" s="718"/>
      <c r="U29" s="642">
        <f t="shared" si="3"/>
        <v>7</v>
      </c>
    </row>
    <row r="30" spans="1:21" ht="15.75" thickBot="1" x14ac:dyDescent="0.3">
      <c r="A30" s="651">
        <v>44256</v>
      </c>
      <c r="B30" s="657" t="str">
        <f t="shared" si="0"/>
        <v>Po</v>
      </c>
      <c r="C30" s="729">
        <f>Tabulka41424[[#This Row],[DO]]-Tabulka41424[[#This Row],[OD]]-TIME(0,30,0)</f>
        <v>-2.0833333333333332E-2</v>
      </c>
      <c r="D30" s="743">
        <f t="shared" si="1"/>
        <v>0</v>
      </c>
      <c r="E30" s="724"/>
      <c r="F30" s="727"/>
      <c r="G30" s="654"/>
      <c r="H30" s="657"/>
      <c r="I30" s="654"/>
      <c r="J30" s="657"/>
      <c r="K30" s="654"/>
      <c r="L30" s="657" t="s">
        <v>16</v>
      </c>
      <c r="M30" s="708">
        <v>0</v>
      </c>
      <c r="N30" s="715"/>
      <c r="O30" s="720"/>
      <c r="P30" s="718"/>
      <c r="Q30" s="718"/>
      <c r="R30" s="718"/>
      <c r="S30" s="718"/>
      <c r="T30" s="718"/>
      <c r="U30" s="642">
        <f t="shared" si="3"/>
        <v>1</v>
      </c>
    </row>
    <row r="31" spans="1:21" ht="15.75" thickBot="1" x14ac:dyDescent="0.3">
      <c r="A31" s="651">
        <v>44257</v>
      </c>
      <c r="B31" s="657" t="str">
        <f t="shared" si="0"/>
        <v>Út</v>
      </c>
      <c r="C31" s="729">
        <f>Tabulka41424[[#This Row],[DO]]-Tabulka41424[[#This Row],[OD]]-TIME(0,30,0)</f>
        <v>-2.0833333333333332E-2</v>
      </c>
      <c r="D31" s="743">
        <f t="shared" si="1"/>
        <v>0</v>
      </c>
      <c r="E31" s="724"/>
      <c r="F31" s="727"/>
      <c r="G31" s="654"/>
      <c r="H31" s="657"/>
      <c r="I31" s="654"/>
      <c r="J31" s="657"/>
      <c r="K31" s="654"/>
      <c r="L31" s="657" t="s">
        <v>16</v>
      </c>
      <c r="M31" s="708">
        <v>0</v>
      </c>
      <c r="N31" s="649"/>
      <c r="O31" s="646"/>
      <c r="P31" s="718"/>
      <c r="Q31" s="718"/>
      <c r="R31" s="718"/>
      <c r="S31" s="718"/>
      <c r="T31" s="718"/>
      <c r="U31" s="642">
        <f t="shared" si="3"/>
        <v>2</v>
      </c>
    </row>
    <row r="32" spans="1:21" ht="15.75" thickBot="1" x14ac:dyDescent="0.3">
      <c r="A32" s="651">
        <v>44258</v>
      </c>
      <c r="B32" s="657" t="str">
        <f t="shared" si="0"/>
        <v>St</v>
      </c>
      <c r="C32" s="729">
        <f>Tabulka41424[[#This Row],[DO]]-Tabulka41424[[#This Row],[OD]]-TIME(0,30,0)</f>
        <v>-2.0833333333333332E-2</v>
      </c>
      <c r="D32" s="743">
        <f t="shared" si="1"/>
        <v>0</v>
      </c>
      <c r="E32" s="724"/>
      <c r="F32" s="727"/>
      <c r="G32" s="654"/>
      <c r="H32" s="657"/>
      <c r="I32" s="654"/>
      <c r="J32" s="657"/>
      <c r="K32" s="654"/>
      <c r="L32" s="657" t="s">
        <v>16</v>
      </c>
      <c r="M32" s="708">
        <v>0</v>
      </c>
      <c r="N32" s="649"/>
      <c r="O32" s="646"/>
      <c r="P32" s="718"/>
      <c r="Q32" s="718"/>
      <c r="R32" s="718"/>
      <c r="S32" s="718"/>
      <c r="T32" s="718"/>
      <c r="U32" s="642">
        <f t="shared" si="3"/>
        <v>3</v>
      </c>
    </row>
    <row r="33" spans="1:21" ht="15.75" thickBot="1" x14ac:dyDescent="0.3">
      <c r="A33" s="651">
        <v>44259</v>
      </c>
      <c r="B33" s="657" t="str">
        <f t="shared" si="0"/>
        <v>Čt</v>
      </c>
      <c r="C33" s="729">
        <f>Tabulka41424[[#This Row],[DO]]-Tabulka41424[[#This Row],[OD]]-TIME(0,30,0)</f>
        <v>-2.0833333333333332E-2</v>
      </c>
      <c r="D33" s="743">
        <f t="shared" si="1"/>
        <v>0</v>
      </c>
      <c r="E33" s="724"/>
      <c r="F33" s="727"/>
      <c r="G33" s="654"/>
      <c r="H33" s="657"/>
      <c r="I33" s="654"/>
      <c r="J33" s="657"/>
      <c r="K33" s="654"/>
      <c r="L33" s="657"/>
      <c r="M33" s="708"/>
      <c r="N33" s="649"/>
      <c r="O33" s="646"/>
      <c r="P33" s="718"/>
      <c r="Q33" s="718"/>
      <c r="R33" s="718"/>
      <c r="S33" s="718"/>
      <c r="T33" s="718"/>
      <c r="U33" s="642">
        <f>WEEKDAY(A33,2)</f>
        <v>4</v>
      </c>
    </row>
    <row r="34" spans="1:21" ht="15.75" thickBot="1" x14ac:dyDescent="0.3">
      <c r="A34" s="651">
        <v>44260</v>
      </c>
      <c r="B34" s="657" t="str">
        <f t="shared" si="0"/>
        <v>Pá</v>
      </c>
      <c r="C34" s="729">
        <f>Tabulka41424[[#This Row],[DO]]-Tabulka41424[[#This Row],[OD]]-TIME(0,30,0)</f>
        <v>-2.0833333333333332E-2</v>
      </c>
      <c r="D34" s="743">
        <f t="shared" si="1"/>
        <v>0</v>
      </c>
      <c r="E34" s="724"/>
      <c r="F34" s="727"/>
      <c r="G34" s="654"/>
      <c r="H34" s="657"/>
      <c r="I34" s="654"/>
      <c r="J34" s="657"/>
      <c r="K34" s="654"/>
      <c r="L34" s="657"/>
      <c r="M34" s="708"/>
      <c r="N34" s="649"/>
      <c r="O34" s="646"/>
      <c r="P34" s="718"/>
      <c r="Q34" s="718"/>
      <c r="R34" s="718"/>
      <c r="S34" s="718"/>
      <c r="T34" s="718"/>
      <c r="U34" s="642">
        <f t="shared" ref="U34:U35" si="4">WEEKDAY(A34,2)</f>
        <v>5</v>
      </c>
    </row>
    <row r="35" spans="1:21" ht="15.75" thickBot="1" x14ac:dyDescent="0.3">
      <c r="A35" s="651">
        <v>44261</v>
      </c>
      <c r="B35" s="658" t="str">
        <f t="shared" si="0"/>
        <v>So</v>
      </c>
      <c r="C35" s="730">
        <f>Tabulka41424[[#This Row],[DO]]-Tabulka41424[[#This Row],[OD]]-TIME(0,30,0)</f>
        <v>-2.0833333333333332E-2</v>
      </c>
      <c r="D35" s="746">
        <f t="shared" si="1"/>
        <v>0</v>
      </c>
      <c r="E35" s="725"/>
      <c r="F35" s="728"/>
      <c r="G35" s="655"/>
      <c r="H35" s="658"/>
      <c r="I35" s="655"/>
      <c r="J35" s="658"/>
      <c r="K35" s="655"/>
      <c r="L35" s="658"/>
      <c r="M35" s="709"/>
      <c r="N35" s="652"/>
      <c r="O35" s="648"/>
      <c r="P35" s="718"/>
      <c r="Q35" s="718"/>
      <c r="R35" s="718"/>
      <c r="S35" s="718"/>
      <c r="T35" s="718"/>
      <c r="U35" s="642">
        <f t="shared" si="4"/>
        <v>6</v>
      </c>
    </row>
    <row r="36" spans="1:21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</row>
    <row r="38" spans="1:21" x14ac:dyDescent="0.25">
      <c r="E38" s="731"/>
      <c r="N38" s="731"/>
    </row>
    <row r="39" spans="1:21" x14ac:dyDescent="0.25">
      <c r="C39" s="733"/>
      <c r="E39" s="732"/>
    </row>
    <row r="40" spans="1:21" x14ac:dyDescent="0.25">
      <c r="N40" s="744"/>
    </row>
    <row r="42" spans="1:21" x14ac:dyDescent="0.25">
      <c r="N42" s="736">
        <f>N2*24</f>
        <v>127.50000000000013</v>
      </c>
    </row>
    <row r="43" spans="1:21" x14ac:dyDescent="0.25">
      <c r="N43" s="737"/>
    </row>
    <row r="45" spans="1:21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70C0"/>
  </sheetPr>
  <dimension ref="A1:T100"/>
  <sheetViews>
    <sheetView workbookViewId="0"/>
  </sheetViews>
  <sheetFormatPr defaultColWidth="14.42578125" defaultRowHeight="15" customHeight="1" x14ac:dyDescent="0.25"/>
  <cols>
    <col min="1" max="1" width="13.140625" customWidth="1"/>
    <col min="2" max="2" width="8.42578125" customWidth="1"/>
    <col min="3" max="3" width="8" customWidth="1"/>
    <col min="4" max="4" width="8.5703125" customWidth="1"/>
    <col min="5" max="5" width="14.28515625" customWidth="1"/>
    <col min="6" max="6" width="12.7109375" customWidth="1"/>
    <col min="7" max="7" width="15.5703125" customWidth="1"/>
    <col min="8" max="8" width="12.28515625" customWidth="1"/>
    <col min="9" max="9" width="17.7109375" customWidth="1"/>
    <col min="10" max="10" width="15.42578125" customWidth="1"/>
    <col min="11" max="11" width="13.5703125" customWidth="1"/>
    <col min="12" max="12" width="11.42578125" customWidth="1"/>
    <col min="13" max="13" width="21.140625" customWidth="1"/>
    <col min="14" max="14" width="24.85546875" customWidth="1"/>
    <col min="15" max="15" width="21.140625" customWidth="1"/>
    <col min="16" max="16" width="21.7109375" customWidth="1"/>
    <col min="17" max="18" width="12.5703125" customWidth="1"/>
  </cols>
  <sheetData>
    <row r="1" spans="1:20" ht="18.75" x14ac:dyDescent="0.25">
      <c r="A1" s="1" t="s">
        <v>0</v>
      </c>
      <c r="B1" s="1" t="s">
        <v>1</v>
      </c>
      <c r="C1" s="1" t="s">
        <v>127</v>
      </c>
      <c r="D1" s="5" t="s">
        <v>128</v>
      </c>
      <c r="E1" s="2" t="s">
        <v>3</v>
      </c>
      <c r="F1" s="2" t="s">
        <v>4</v>
      </c>
      <c r="G1" s="2" t="s">
        <v>5</v>
      </c>
      <c r="H1" s="2" t="s">
        <v>6</v>
      </c>
      <c r="I1" s="2" t="s">
        <v>7</v>
      </c>
      <c r="J1" s="2" t="s">
        <v>5</v>
      </c>
      <c r="K1" s="362" t="s">
        <v>8</v>
      </c>
      <c r="L1" s="382" t="s">
        <v>129</v>
      </c>
      <c r="M1" s="4" t="s">
        <v>9</v>
      </c>
      <c r="N1" s="425"/>
      <c r="O1" s="5" t="s">
        <v>10</v>
      </c>
      <c r="P1" s="6" t="s">
        <v>11</v>
      </c>
      <c r="Q1" s="7" t="s">
        <v>12</v>
      </c>
      <c r="R1" s="7" t="s">
        <v>13</v>
      </c>
      <c r="S1" s="3" t="s">
        <v>14</v>
      </c>
    </row>
    <row r="2" spans="1:20" x14ac:dyDescent="0.25">
      <c r="A2" s="214">
        <v>43952</v>
      </c>
      <c r="B2" s="215" t="str">
        <f t="shared" ref="B2:B26" si="0">CHOOSE(WEEKDAY(T2),"Po","Út","St","Čt","Pá","So","Ne")</f>
        <v>Pá</v>
      </c>
      <c r="C2" s="216"/>
      <c r="D2" s="216">
        <f t="shared" ref="D2:D32" si="1">L2*C2</f>
        <v>0</v>
      </c>
      <c r="E2" s="217"/>
      <c r="F2" s="218"/>
      <c r="G2" s="219"/>
      <c r="H2" s="220"/>
      <c r="I2" s="218"/>
      <c r="J2" s="221" t="s">
        <v>15</v>
      </c>
      <c r="K2" s="222" t="s">
        <v>16</v>
      </c>
      <c r="L2" s="394"/>
      <c r="M2" s="223">
        <f>M4+M6</f>
        <v>112</v>
      </c>
      <c r="N2" s="223"/>
      <c r="O2" s="8">
        <v>14399</v>
      </c>
      <c r="P2" s="9" t="s">
        <v>17</v>
      </c>
      <c r="Q2" s="10" t="s">
        <v>131</v>
      </c>
      <c r="R2" s="11">
        <v>43969</v>
      </c>
      <c r="S2" s="12">
        <f>L6*20</f>
        <v>0</v>
      </c>
      <c r="T2" s="13">
        <f t="shared" ref="T2:T26" si="2">WEEKDAY(A2,2)</f>
        <v>5</v>
      </c>
    </row>
    <row r="3" spans="1:20" x14ac:dyDescent="0.25">
      <c r="A3" s="224">
        <v>43953</v>
      </c>
      <c r="B3" s="225" t="str">
        <f t="shared" si="0"/>
        <v>So</v>
      </c>
      <c r="C3" s="226"/>
      <c r="D3" s="216">
        <f t="shared" si="1"/>
        <v>0</v>
      </c>
      <c r="E3" s="227"/>
      <c r="F3" s="228"/>
      <c r="G3" s="229"/>
      <c r="H3" s="230"/>
      <c r="I3" s="228"/>
      <c r="J3" s="231" t="s">
        <v>15</v>
      </c>
      <c r="K3" s="232" t="s">
        <v>16</v>
      </c>
      <c r="L3" s="400"/>
      <c r="M3" s="15" t="s">
        <v>19</v>
      </c>
      <c r="N3" s="15" t="s">
        <v>19</v>
      </c>
      <c r="O3" s="17"/>
      <c r="P3" s="18" t="s">
        <v>17</v>
      </c>
      <c r="Q3" s="19" t="s">
        <v>134</v>
      </c>
      <c r="R3" s="20"/>
      <c r="T3" s="13">
        <f t="shared" si="2"/>
        <v>6</v>
      </c>
    </row>
    <row r="4" spans="1:20" x14ac:dyDescent="0.25">
      <c r="A4" s="233">
        <v>43954</v>
      </c>
      <c r="B4" s="234" t="str">
        <f t="shared" si="0"/>
        <v>Ne</v>
      </c>
      <c r="C4" s="235"/>
      <c r="D4" s="216">
        <f t="shared" si="1"/>
        <v>0</v>
      </c>
      <c r="E4" s="236"/>
      <c r="F4" s="237"/>
      <c r="G4" s="229"/>
      <c r="H4" s="239"/>
      <c r="I4" s="237"/>
      <c r="J4" s="240" t="s">
        <v>15</v>
      </c>
      <c r="K4" s="241" t="s">
        <v>16</v>
      </c>
      <c r="L4" s="406"/>
      <c r="M4" s="242">
        <f>SUM(C19:C32)</f>
        <v>112</v>
      </c>
      <c r="N4" s="242"/>
      <c r="O4" s="17"/>
      <c r="P4" s="18" t="s">
        <v>17</v>
      </c>
      <c r="Q4" s="19" t="s">
        <v>134</v>
      </c>
      <c r="R4" s="20"/>
      <c r="T4" s="13">
        <f t="shared" si="2"/>
        <v>7</v>
      </c>
    </row>
    <row r="5" spans="1:20" x14ac:dyDescent="0.25">
      <c r="A5" s="224">
        <v>43955</v>
      </c>
      <c r="B5" s="225" t="str">
        <f t="shared" si="0"/>
        <v>Po</v>
      </c>
      <c r="C5" s="243"/>
      <c r="D5" s="216">
        <f t="shared" si="1"/>
        <v>0</v>
      </c>
      <c r="E5" s="227"/>
      <c r="F5" s="228"/>
      <c r="G5" s="229"/>
      <c r="H5" s="230"/>
      <c r="I5" s="228"/>
      <c r="J5" s="244" t="s">
        <v>15</v>
      </c>
      <c r="K5" s="232" t="s">
        <v>16</v>
      </c>
      <c r="L5" s="400"/>
      <c r="M5" s="15" t="s">
        <v>14</v>
      </c>
      <c r="N5" s="15" t="s">
        <v>14</v>
      </c>
      <c r="O5" s="23">
        <v>32106</v>
      </c>
      <c r="P5" s="24" t="s">
        <v>17</v>
      </c>
      <c r="Q5" s="25" t="s">
        <v>135</v>
      </c>
      <c r="R5" s="26">
        <v>43998</v>
      </c>
      <c r="S5" s="30"/>
      <c r="T5" s="13">
        <f t="shared" si="2"/>
        <v>1</v>
      </c>
    </row>
    <row r="6" spans="1:20" x14ac:dyDescent="0.25">
      <c r="A6" s="233">
        <v>43956</v>
      </c>
      <c r="B6" s="234" t="str">
        <f t="shared" si="0"/>
        <v>Út</v>
      </c>
      <c r="C6" s="245"/>
      <c r="D6" s="216">
        <f t="shared" si="1"/>
        <v>0</v>
      </c>
      <c r="E6" s="236"/>
      <c r="F6" s="237"/>
      <c r="G6" s="238"/>
      <c r="H6" s="239"/>
      <c r="I6" s="237"/>
      <c r="J6" s="240" t="s">
        <v>15</v>
      </c>
      <c r="K6" s="241" t="s">
        <v>16</v>
      </c>
      <c r="L6" s="406"/>
      <c r="M6" s="21">
        <v>0</v>
      </c>
      <c r="N6" s="21">
        <v>0</v>
      </c>
      <c r="O6" s="17" t="s">
        <v>134</v>
      </c>
      <c r="P6" s="27"/>
      <c r="Q6" s="28"/>
      <c r="R6" s="29"/>
      <c r="S6" s="30"/>
      <c r="T6" s="13">
        <f t="shared" si="2"/>
        <v>2</v>
      </c>
    </row>
    <row r="7" spans="1:20" x14ac:dyDescent="0.25">
      <c r="A7" s="224">
        <v>43957</v>
      </c>
      <c r="B7" s="225" t="str">
        <f t="shared" si="0"/>
        <v>St</v>
      </c>
      <c r="C7" s="243"/>
      <c r="D7" s="216">
        <f t="shared" si="1"/>
        <v>0</v>
      </c>
      <c r="E7" s="227"/>
      <c r="F7" s="228"/>
      <c r="G7" s="246"/>
      <c r="H7" s="230"/>
      <c r="I7" s="228"/>
      <c r="J7" s="244" t="s">
        <v>15</v>
      </c>
      <c r="K7" s="232" t="s">
        <v>16</v>
      </c>
      <c r="L7" s="400"/>
      <c r="M7" s="14" t="s">
        <v>20</v>
      </c>
      <c r="N7" s="14" t="s">
        <v>20</v>
      </c>
      <c r="O7" s="31">
        <f>SUM(O3)</f>
        <v>0</v>
      </c>
      <c r="P7" s="30">
        <v>20000</v>
      </c>
      <c r="Q7" s="30" t="s">
        <v>48</v>
      </c>
      <c r="R7" s="32"/>
      <c r="S7" s="30"/>
      <c r="T7" s="13">
        <f t="shared" si="2"/>
        <v>3</v>
      </c>
    </row>
    <row r="8" spans="1:20" x14ac:dyDescent="0.25">
      <c r="A8" s="233">
        <v>43958</v>
      </c>
      <c r="B8" s="234" t="str">
        <f t="shared" si="0"/>
        <v>Čt</v>
      </c>
      <c r="C8" s="247"/>
      <c r="D8" s="216">
        <f t="shared" si="1"/>
        <v>0</v>
      </c>
      <c r="E8" s="248"/>
      <c r="F8" s="237"/>
      <c r="G8" s="249"/>
      <c r="H8" s="239"/>
      <c r="I8" s="237"/>
      <c r="J8" s="240" t="s">
        <v>15</v>
      </c>
      <c r="K8" s="241" t="s">
        <v>16</v>
      </c>
      <c r="L8" s="406"/>
      <c r="M8" s="21" t="s">
        <v>22</v>
      </c>
      <c r="N8" s="21" t="s">
        <v>22</v>
      </c>
      <c r="O8" s="33" t="s">
        <v>136</v>
      </c>
      <c r="P8" s="30"/>
      <c r="Q8" s="30"/>
      <c r="R8" s="32"/>
      <c r="S8" s="30"/>
      <c r="T8" s="13">
        <f t="shared" si="2"/>
        <v>4</v>
      </c>
    </row>
    <row r="9" spans="1:20" x14ac:dyDescent="0.25">
      <c r="A9" s="224">
        <v>43959</v>
      </c>
      <c r="B9" s="225" t="str">
        <f t="shared" si="0"/>
        <v>Pá</v>
      </c>
      <c r="C9" s="243"/>
      <c r="D9" s="216">
        <f t="shared" si="1"/>
        <v>0</v>
      </c>
      <c r="E9" s="250"/>
      <c r="F9" s="228"/>
      <c r="G9" s="229"/>
      <c r="H9" s="230"/>
      <c r="I9" s="228"/>
      <c r="J9" s="231" t="s">
        <v>15</v>
      </c>
      <c r="K9" s="232" t="s">
        <v>16</v>
      </c>
      <c r="L9" s="400"/>
      <c r="M9" s="15" t="s">
        <v>23</v>
      </c>
      <c r="N9" s="15" t="s">
        <v>23</v>
      </c>
      <c r="O9" s="34">
        <f>SUM(O2:O4)</f>
        <v>14399</v>
      </c>
      <c r="P9" s="30"/>
      <c r="Q9" s="30"/>
      <c r="R9" s="32"/>
      <c r="S9" s="30"/>
      <c r="T9" s="13">
        <f t="shared" si="2"/>
        <v>5</v>
      </c>
    </row>
    <row r="10" spans="1:20" x14ac:dyDescent="0.25">
      <c r="A10" s="233">
        <v>43960</v>
      </c>
      <c r="B10" s="234" t="str">
        <f t="shared" si="0"/>
        <v>So</v>
      </c>
      <c r="C10" s="245"/>
      <c r="D10" s="216">
        <f t="shared" si="1"/>
        <v>0</v>
      </c>
      <c r="E10" s="248"/>
      <c r="F10" s="237"/>
      <c r="G10" s="229"/>
      <c r="H10" s="239"/>
      <c r="I10" s="237"/>
      <c r="J10" s="240" t="s">
        <v>15</v>
      </c>
      <c r="K10" s="241" t="s">
        <v>16</v>
      </c>
      <c r="L10" s="406"/>
      <c r="M10" s="251">
        <f>SUM(M2*350)+S2</f>
        <v>39200</v>
      </c>
      <c r="N10" s="251">
        <v>34005</v>
      </c>
      <c r="O10" s="35"/>
      <c r="P10" s="30"/>
      <c r="Q10" s="30"/>
      <c r="R10" s="32"/>
      <c r="S10" s="30"/>
      <c r="T10" s="13">
        <f t="shared" si="2"/>
        <v>6</v>
      </c>
    </row>
    <row r="11" spans="1:20" x14ac:dyDescent="0.25">
      <c r="A11" s="224">
        <v>43961</v>
      </c>
      <c r="B11" s="225" t="str">
        <f t="shared" si="0"/>
        <v>Ne</v>
      </c>
      <c r="C11" s="243"/>
      <c r="D11" s="216">
        <f t="shared" si="1"/>
        <v>0</v>
      </c>
      <c r="E11" s="252"/>
      <c r="F11" s="228"/>
      <c r="G11" s="229"/>
      <c r="H11" s="230"/>
      <c r="I11" s="228"/>
      <c r="J11" s="231" t="s">
        <v>15</v>
      </c>
      <c r="K11" s="232" t="s">
        <v>16</v>
      </c>
      <c r="L11" s="400"/>
      <c r="M11" s="15" t="s">
        <v>24</v>
      </c>
      <c r="N11" s="15" t="s">
        <v>24</v>
      </c>
      <c r="O11" s="36"/>
      <c r="P11" s="30"/>
      <c r="Q11" s="30"/>
      <c r="R11" s="30"/>
      <c r="S11" s="30"/>
      <c r="T11" s="13">
        <f t="shared" si="2"/>
        <v>7</v>
      </c>
    </row>
    <row r="12" spans="1:20" x14ac:dyDescent="0.25">
      <c r="A12" s="233">
        <v>43962</v>
      </c>
      <c r="B12" s="234" t="str">
        <f t="shared" si="0"/>
        <v>Po</v>
      </c>
      <c r="C12" s="245"/>
      <c r="D12" s="216">
        <f t="shared" si="1"/>
        <v>0</v>
      </c>
      <c r="E12" s="253"/>
      <c r="F12" s="237"/>
      <c r="G12" s="238"/>
      <c r="H12" s="239"/>
      <c r="I12" s="237"/>
      <c r="J12" s="240" t="s">
        <v>15</v>
      </c>
      <c r="K12" s="241" t="s">
        <v>16</v>
      </c>
      <c r="L12" s="406"/>
      <c r="M12" s="254">
        <f t="shared" ref="M12:N12" si="3">(M10+M20+M18-M22)-M14</f>
        <v>18773.630000000005</v>
      </c>
      <c r="N12" s="254">
        <f t="shared" si="3"/>
        <v>28949</v>
      </c>
      <c r="O12" s="36"/>
      <c r="P12" s="30"/>
      <c r="Q12" s="30"/>
      <c r="R12" s="30"/>
      <c r="S12" s="30"/>
      <c r="T12" s="13">
        <f t="shared" si="2"/>
        <v>1</v>
      </c>
    </row>
    <row r="13" spans="1:20" x14ac:dyDescent="0.25">
      <c r="A13" s="224">
        <v>43963</v>
      </c>
      <c r="B13" s="225" t="str">
        <f t="shared" si="0"/>
        <v>Út</v>
      </c>
      <c r="C13" s="243"/>
      <c r="D13" s="216">
        <f t="shared" si="1"/>
        <v>0</v>
      </c>
      <c r="E13" s="255"/>
      <c r="F13" s="228"/>
      <c r="G13" s="229"/>
      <c r="H13" s="230"/>
      <c r="I13" s="228"/>
      <c r="J13" s="231" t="s">
        <v>15</v>
      </c>
      <c r="K13" s="232" t="s">
        <v>16</v>
      </c>
      <c r="L13" s="400"/>
      <c r="M13" s="15" t="s">
        <v>26</v>
      </c>
      <c r="N13" s="15" t="s">
        <v>26</v>
      </c>
      <c r="O13" s="37"/>
      <c r="P13" s="30"/>
      <c r="Q13" s="30"/>
      <c r="R13" s="30"/>
      <c r="S13" s="30"/>
      <c r="T13" s="13">
        <f t="shared" si="2"/>
        <v>2</v>
      </c>
    </row>
    <row r="14" spans="1:20" x14ac:dyDescent="0.25">
      <c r="A14" s="233">
        <v>43964</v>
      </c>
      <c r="B14" s="234" t="str">
        <f t="shared" si="0"/>
        <v>St</v>
      </c>
      <c r="C14" s="235"/>
      <c r="D14" s="216">
        <f t="shared" si="1"/>
        <v>0</v>
      </c>
      <c r="E14" s="253"/>
      <c r="F14" s="237"/>
      <c r="G14" s="238"/>
      <c r="H14" s="239"/>
      <c r="I14" s="256"/>
      <c r="J14" s="240" t="s">
        <v>15</v>
      </c>
      <c r="K14" s="241" t="s">
        <v>16</v>
      </c>
      <c r="L14" s="406"/>
      <c r="M14" s="254">
        <f>(M16*25.5)</f>
        <v>20750.369999999995</v>
      </c>
      <c r="N14" s="254">
        <f>(N16*26.9)</f>
        <v>5380</v>
      </c>
      <c r="O14" s="37"/>
      <c r="P14" s="30"/>
      <c r="Q14" s="30"/>
      <c r="R14" s="30"/>
      <c r="S14" s="30"/>
      <c r="T14" s="13">
        <f t="shared" si="2"/>
        <v>3</v>
      </c>
    </row>
    <row r="15" spans="1:20" x14ac:dyDescent="0.25">
      <c r="A15" s="224">
        <v>43965</v>
      </c>
      <c r="B15" s="225" t="str">
        <f t="shared" si="0"/>
        <v>Čt</v>
      </c>
      <c r="C15" s="226"/>
      <c r="D15" s="216">
        <f t="shared" si="1"/>
        <v>0</v>
      </c>
      <c r="E15" s="252"/>
      <c r="F15" s="228"/>
      <c r="G15" s="229"/>
      <c r="H15" s="230"/>
      <c r="I15" s="257"/>
      <c r="J15" s="231" t="s">
        <v>15</v>
      </c>
      <c r="K15" s="232" t="s">
        <v>16</v>
      </c>
      <c r="L15" s="400"/>
      <c r="M15" s="15" t="s">
        <v>29</v>
      </c>
      <c r="N15" s="15" t="s">
        <v>29</v>
      </c>
      <c r="O15" s="37"/>
      <c r="P15" s="30"/>
      <c r="Q15" s="30"/>
      <c r="R15" s="30"/>
      <c r="S15" s="30"/>
      <c r="T15" s="13">
        <f t="shared" si="2"/>
        <v>4</v>
      </c>
    </row>
    <row r="16" spans="1:20" x14ac:dyDescent="0.25">
      <c r="A16" s="233">
        <v>43966</v>
      </c>
      <c r="B16" s="234" t="str">
        <f t="shared" si="0"/>
        <v>Pá</v>
      </c>
      <c r="C16" s="235"/>
      <c r="D16" s="216">
        <f t="shared" si="1"/>
        <v>0</v>
      </c>
      <c r="E16" s="248"/>
      <c r="F16" s="256"/>
      <c r="G16" s="238"/>
      <c r="H16" s="239"/>
      <c r="I16" s="256"/>
      <c r="J16" s="240" t="s">
        <v>15</v>
      </c>
      <c r="K16" s="241" t="s">
        <v>16</v>
      </c>
      <c r="L16" s="406"/>
      <c r="M16" s="258">
        <f>'20KvětenV'!O27</f>
        <v>813.73999999999978</v>
      </c>
      <c r="N16" s="258">
        <v>200</v>
      </c>
      <c r="O16" s="37"/>
      <c r="P16" s="30"/>
      <c r="Q16" s="30"/>
      <c r="R16" s="30"/>
      <c r="S16" s="30"/>
      <c r="T16" s="13">
        <f t="shared" si="2"/>
        <v>5</v>
      </c>
    </row>
    <row r="17" spans="1:20" x14ac:dyDescent="0.25">
      <c r="A17" s="224">
        <v>43967</v>
      </c>
      <c r="B17" s="225" t="str">
        <f t="shared" si="0"/>
        <v>So</v>
      </c>
      <c r="C17" s="243"/>
      <c r="D17" s="216">
        <f t="shared" si="1"/>
        <v>0</v>
      </c>
      <c r="E17" s="250"/>
      <c r="F17" s="257"/>
      <c r="G17" s="229"/>
      <c r="H17" s="230"/>
      <c r="I17" s="257"/>
      <c r="J17" s="231" t="s">
        <v>15</v>
      </c>
      <c r="K17" s="232" t="s">
        <v>16</v>
      </c>
      <c r="L17" s="400"/>
      <c r="M17" s="15" t="s">
        <v>31</v>
      </c>
      <c r="N17" s="15" t="s">
        <v>31</v>
      </c>
      <c r="S17" s="30"/>
      <c r="T17" s="13">
        <f t="shared" si="2"/>
        <v>6</v>
      </c>
    </row>
    <row r="18" spans="1:20" x14ac:dyDescent="0.25">
      <c r="A18" s="233">
        <v>43968</v>
      </c>
      <c r="B18" s="234" t="str">
        <f t="shared" si="0"/>
        <v>Ne</v>
      </c>
      <c r="C18" s="256"/>
      <c r="D18" s="216">
        <f t="shared" si="1"/>
        <v>0</v>
      </c>
      <c r="E18" s="248" t="s">
        <v>80</v>
      </c>
      <c r="F18" s="256"/>
      <c r="G18" s="238"/>
      <c r="H18" s="239"/>
      <c r="I18" s="256"/>
      <c r="J18" s="240" t="s">
        <v>15</v>
      </c>
      <c r="K18" s="241" t="s">
        <v>16</v>
      </c>
      <c r="L18" s="406"/>
      <c r="M18" s="251">
        <v>1212</v>
      </c>
      <c r="N18" s="251">
        <v>1212</v>
      </c>
      <c r="S18" s="30"/>
      <c r="T18" s="13">
        <f t="shared" si="2"/>
        <v>7</v>
      </c>
    </row>
    <row r="19" spans="1:20" x14ac:dyDescent="0.25">
      <c r="A19" s="224">
        <v>43969</v>
      </c>
      <c r="B19" s="225" t="str">
        <f t="shared" si="0"/>
        <v>Po</v>
      </c>
      <c r="C19" s="257">
        <v>7</v>
      </c>
      <c r="D19" s="216">
        <f t="shared" si="1"/>
        <v>28</v>
      </c>
      <c r="E19" s="250" t="s">
        <v>137</v>
      </c>
      <c r="F19" s="257"/>
      <c r="G19" s="229" t="s">
        <v>138</v>
      </c>
      <c r="H19" s="230" t="s">
        <v>139</v>
      </c>
      <c r="I19" s="257" t="s">
        <v>140</v>
      </c>
      <c r="J19" s="231" t="s">
        <v>15</v>
      </c>
      <c r="K19" s="232" t="s">
        <v>16</v>
      </c>
      <c r="L19" s="400">
        <v>4</v>
      </c>
      <c r="M19" s="259" t="s">
        <v>33</v>
      </c>
      <c r="N19" s="259" t="s">
        <v>33</v>
      </c>
      <c r="S19" s="30"/>
      <c r="T19" s="13">
        <f t="shared" si="2"/>
        <v>1</v>
      </c>
    </row>
    <row r="20" spans="1:20" x14ac:dyDescent="0.25">
      <c r="A20" s="233">
        <v>43970</v>
      </c>
      <c r="B20" s="234" t="str">
        <f t="shared" si="0"/>
        <v>Út</v>
      </c>
      <c r="C20" s="245">
        <v>9.5</v>
      </c>
      <c r="D20" s="216">
        <f t="shared" si="1"/>
        <v>38</v>
      </c>
      <c r="E20" s="248" t="s">
        <v>30</v>
      </c>
      <c r="F20" s="256"/>
      <c r="G20" s="238" t="s">
        <v>138</v>
      </c>
      <c r="H20" s="239" t="s">
        <v>139</v>
      </c>
      <c r="I20" s="256" t="s">
        <v>140</v>
      </c>
      <c r="J20" s="240"/>
      <c r="K20" s="241" t="s">
        <v>16</v>
      </c>
      <c r="L20" s="406">
        <v>4</v>
      </c>
      <c r="M20" s="251">
        <v>0</v>
      </c>
      <c r="N20" s="251">
        <v>0</v>
      </c>
      <c r="S20" s="30"/>
      <c r="T20" s="13">
        <f t="shared" si="2"/>
        <v>2</v>
      </c>
    </row>
    <row r="21" spans="1:20" ht="15.75" customHeight="1" x14ac:dyDescent="0.25">
      <c r="A21" s="224">
        <v>43971</v>
      </c>
      <c r="B21" s="225" t="str">
        <f t="shared" si="0"/>
        <v>St</v>
      </c>
      <c r="C21" s="243">
        <v>6.5</v>
      </c>
      <c r="D21" s="216">
        <f t="shared" si="1"/>
        <v>26</v>
      </c>
      <c r="E21" s="252" t="s">
        <v>141</v>
      </c>
      <c r="F21" s="257"/>
      <c r="G21" s="229" t="s">
        <v>138</v>
      </c>
      <c r="H21" s="230" t="s">
        <v>139</v>
      </c>
      <c r="I21" s="257" t="s">
        <v>140</v>
      </c>
      <c r="J21" s="231"/>
      <c r="K21" s="241" t="s">
        <v>16</v>
      </c>
      <c r="L21" s="400">
        <v>4</v>
      </c>
      <c r="M21" s="259" t="s">
        <v>34</v>
      </c>
      <c r="N21" s="259" t="s">
        <v>34</v>
      </c>
      <c r="S21" s="30"/>
      <c r="T21" s="13">
        <f t="shared" si="2"/>
        <v>3</v>
      </c>
    </row>
    <row r="22" spans="1:20" ht="15.75" customHeight="1" x14ac:dyDescent="0.25">
      <c r="A22" s="233">
        <v>43972</v>
      </c>
      <c r="B22" s="234" t="str">
        <f t="shared" si="0"/>
        <v>Čt</v>
      </c>
      <c r="C22" s="245">
        <v>10</v>
      </c>
      <c r="D22" s="216">
        <f t="shared" si="1"/>
        <v>40</v>
      </c>
      <c r="E22" s="253" t="s">
        <v>71</v>
      </c>
      <c r="F22" s="256"/>
      <c r="G22" s="238" t="s">
        <v>142</v>
      </c>
      <c r="H22" s="239" t="s">
        <v>78</v>
      </c>
      <c r="I22" s="256" t="s">
        <v>143</v>
      </c>
      <c r="J22" s="240"/>
      <c r="K22" s="241" t="s">
        <v>16</v>
      </c>
      <c r="L22" s="406">
        <v>4</v>
      </c>
      <c r="M22" s="251">
        <v>888</v>
      </c>
      <c r="N22" s="251">
        <v>888</v>
      </c>
      <c r="S22" s="30"/>
      <c r="T22" s="13">
        <f t="shared" si="2"/>
        <v>4</v>
      </c>
    </row>
    <row r="23" spans="1:20" ht="15.75" customHeight="1" x14ac:dyDescent="0.25">
      <c r="A23" s="224">
        <v>43973</v>
      </c>
      <c r="B23" s="225" t="str">
        <f t="shared" si="0"/>
        <v>Pá</v>
      </c>
      <c r="C23" s="243">
        <v>11</v>
      </c>
      <c r="D23" s="216">
        <f t="shared" si="1"/>
        <v>44</v>
      </c>
      <c r="E23" s="250" t="s">
        <v>75</v>
      </c>
      <c r="F23" s="257"/>
      <c r="G23" s="238" t="s">
        <v>142</v>
      </c>
      <c r="H23" s="230" t="s">
        <v>78</v>
      </c>
      <c r="I23" s="256" t="s">
        <v>143</v>
      </c>
      <c r="J23" s="231"/>
      <c r="K23" s="241" t="s">
        <v>16</v>
      </c>
      <c r="L23" s="400">
        <v>4</v>
      </c>
      <c r="M23" s="15" t="s">
        <v>35</v>
      </c>
      <c r="N23" s="15" t="s">
        <v>35</v>
      </c>
      <c r="S23" s="30"/>
      <c r="T23" s="13">
        <f t="shared" si="2"/>
        <v>5</v>
      </c>
    </row>
    <row r="24" spans="1:20" ht="15.75" customHeight="1" x14ac:dyDescent="0.25">
      <c r="A24" s="233">
        <v>43974</v>
      </c>
      <c r="B24" s="234" t="str">
        <f t="shared" si="0"/>
        <v>So</v>
      </c>
      <c r="C24" s="245">
        <v>8</v>
      </c>
      <c r="D24" s="216">
        <f t="shared" si="1"/>
        <v>32</v>
      </c>
      <c r="E24" s="248" t="s">
        <v>32</v>
      </c>
      <c r="F24" s="256"/>
      <c r="G24" s="238" t="s">
        <v>142</v>
      </c>
      <c r="H24" s="239" t="s">
        <v>78</v>
      </c>
      <c r="I24" s="256" t="s">
        <v>143</v>
      </c>
      <c r="J24" s="240"/>
      <c r="K24" s="241" t="s">
        <v>16</v>
      </c>
      <c r="L24" s="406">
        <v>4</v>
      </c>
      <c r="M24" s="260">
        <f>M12-O7</f>
        <v>18773.630000000005</v>
      </c>
      <c r="N24" s="260">
        <f>N12-O7</f>
        <v>28949</v>
      </c>
      <c r="S24" s="30"/>
      <c r="T24" s="13">
        <f t="shared" si="2"/>
        <v>6</v>
      </c>
    </row>
    <row r="25" spans="1:20" ht="15.75" customHeight="1" x14ac:dyDescent="0.25">
      <c r="A25" s="224">
        <v>43975</v>
      </c>
      <c r="B25" s="225" t="str">
        <f t="shared" si="0"/>
        <v>Ne</v>
      </c>
      <c r="C25" s="243">
        <v>0</v>
      </c>
      <c r="D25" s="216">
        <f t="shared" si="1"/>
        <v>0</v>
      </c>
      <c r="E25" s="426" t="s">
        <v>144</v>
      </c>
      <c r="F25" s="257"/>
      <c r="G25" s="238" t="s">
        <v>142</v>
      </c>
      <c r="H25" s="230" t="s">
        <v>78</v>
      </c>
      <c r="I25" s="256" t="s">
        <v>143</v>
      </c>
      <c r="J25" s="231"/>
      <c r="K25" s="241" t="s">
        <v>16</v>
      </c>
      <c r="L25" s="400">
        <v>4</v>
      </c>
      <c r="M25" s="1265" t="s">
        <v>145</v>
      </c>
      <c r="N25" s="1266"/>
      <c r="O25" s="427"/>
      <c r="S25" s="30"/>
      <c r="T25" s="13">
        <f t="shared" si="2"/>
        <v>7</v>
      </c>
    </row>
    <row r="26" spans="1:20" ht="15.75" customHeight="1" x14ac:dyDescent="0.25">
      <c r="A26" s="233">
        <v>43976</v>
      </c>
      <c r="B26" s="234" t="str">
        <f t="shared" si="0"/>
        <v>Po</v>
      </c>
      <c r="C26" s="245">
        <v>11</v>
      </c>
      <c r="D26" s="216">
        <f t="shared" si="1"/>
        <v>44</v>
      </c>
      <c r="E26" s="253" t="s">
        <v>75</v>
      </c>
      <c r="F26" s="256"/>
      <c r="G26" s="238" t="s">
        <v>142</v>
      </c>
      <c r="H26" s="239" t="s">
        <v>78</v>
      </c>
      <c r="I26" s="256" t="s">
        <v>143</v>
      </c>
      <c r="J26" s="240"/>
      <c r="K26" s="241" t="s">
        <v>16</v>
      </c>
      <c r="L26" s="418">
        <v>4</v>
      </c>
      <c r="M26" s="261">
        <v>21998</v>
      </c>
      <c r="N26" s="428">
        <f>M26-P7</f>
        <v>1998</v>
      </c>
      <c r="S26" s="30"/>
      <c r="T26" s="13">
        <f t="shared" si="2"/>
        <v>1</v>
      </c>
    </row>
    <row r="27" spans="1:20" ht="15.75" customHeight="1" x14ac:dyDescent="0.25">
      <c r="A27" s="224">
        <v>43977</v>
      </c>
      <c r="B27" s="225" t="str">
        <f t="shared" ref="B27:B32" si="4">CHOOSE(WEEKDAY(S27),"Po","Út","St","Čt","Pá","So","Ne")</f>
        <v>Út</v>
      </c>
      <c r="C27" s="243">
        <v>11</v>
      </c>
      <c r="D27" s="216">
        <f t="shared" si="1"/>
        <v>44</v>
      </c>
      <c r="E27" s="253" t="s">
        <v>75</v>
      </c>
      <c r="F27" s="257"/>
      <c r="G27" s="238" t="s">
        <v>142</v>
      </c>
      <c r="H27" s="239" t="s">
        <v>78</v>
      </c>
      <c r="I27" s="256" t="s">
        <v>143</v>
      </c>
      <c r="J27" s="231"/>
      <c r="K27" s="241" t="s">
        <v>16</v>
      </c>
      <c r="L27" s="30">
        <v>4</v>
      </c>
      <c r="M27" t="s">
        <v>146</v>
      </c>
      <c r="N27" t="s">
        <v>146</v>
      </c>
      <c r="R27" s="30"/>
      <c r="S27" s="13">
        <f t="shared" ref="S27:S32" si="5">WEEKDAY(A27,2)</f>
        <v>2</v>
      </c>
    </row>
    <row r="28" spans="1:20" ht="15.75" customHeight="1" x14ac:dyDescent="0.25">
      <c r="A28" s="262">
        <v>43978</v>
      </c>
      <c r="B28" s="234" t="str">
        <f t="shared" si="4"/>
        <v>St</v>
      </c>
      <c r="C28" s="245">
        <v>11</v>
      </c>
      <c r="D28" s="216">
        <f t="shared" si="1"/>
        <v>44</v>
      </c>
      <c r="E28" s="253" t="s">
        <v>75</v>
      </c>
      <c r="F28" s="256"/>
      <c r="G28" s="238" t="s">
        <v>142</v>
      </c>
      <c r="H28" s="239" t="s">
        <v>78</v>
      </c>
      <c r="I28" s="256" t="s">
        <v>143</v>
      </c>
      <c r="J28" s="240"/>
      <c r="K28" s="241" t="s">
        <v>16</v>
      </c>
      <c r="L28" s="30">
        <v>4</v>
      </c>
      <c r="M28" s="30">
        <v>31111</v>
      </c>
      <c r="N28" s="30">
        <v>31111</v>
      </c>
      <c r="O28" s="30"/>
      <c r="P28" s="30"/>
      <c r="Q28" s="30"/>
      <c r="R28" s="30"/>
      <c r="S28" s="13">
        <f t="shared" si="5"/>
        <v>3</v>
      </c>
    </row>
    <row r="29" spans="1:20" ht="15.75" customHeight="1" x14ac:dyDescent="0.25">
      <c r="A29" s="264">
        <v>43979</v>
      </c>
      <c r="B29" s="225" t="str">
        <f t="shared" si="4"/>
        <v>Čt</v>
      </c>
      <c r="C29" s="243">
        <v>11</v>
      </c>
      <c r="D29" s="216">
        <f t="shared" si="1"/>
        <v>44</v>
      </c>
      <c r="E29" s="253" t="s">
        <v>75</v>
      </c>
      <c r="F29" s="257"/>
      <c r="G29" s="238" t="s">
        <v>142</v>
      </c>
      <c r="H29" s="239" t="s">
        <v>78</v>
      </c>
      <c r="I29" s="256" t="s">
        <v>143</v>
      </c>
      <c r="J29" s="231"/>
      <c r="K29" s="241" t="s">
        <v>16</v>
      </c>
      <c r="L29" s="30">
        <v>4</v>
      </c>
      <c r="M29" s="30"/>
      <c r="N29" s="30"/>
      <c r="O29" s="30"/>
      <c r="P29" s="30"/>
      <c r="Q29" s="30"/>
      <c r="R29" s="30"/>
      <c r="S29" s="13">
        <f t="shared" si="5"/>
        <v>4</v>
      </c>
    </row>
    <row r="30" spans="1:20" ht="15.75" customHeight="1" x14ac:dyDescent="0.25">
      <c r="A30" s="265">
        <v>43980</v>
      </c>
      <c r="B30" s="234" t="str">
        <f t="shared" si="4"/>
        <v>Pá</v>
      </c>
      <c r="C30" s="245">
        <v>11</v>
      </c>
      <c r="D30" s="216">
        <f t="shared" si="1"/>
        <v>44</v>
      </c>
      <c r="E30" s="253" t="s">
        <v>75</v>
      </c>
      <c r="F30" s="256"/>
      <c r="G30" s="238" t="s">
        <v>142</v>
      </c>
      <c r="H30" s="239" t="s">
        <v>78</v>
      </c>
      <c r="I30" s="256" t="s">
        <v>143</v>
      </c>
      <c r="J30" s="240"/>
      <c r="K30" s="241" t="s">
        <v>16</v>
      </c>
      <c r="L30" s="30">
        <v>4</v>
      </c>
      <c r="M30" s="30"/>
      <c r="N30" s="30"/>
      <c r="O30" s="30"/>
      <c r="P30" s="30"/>
      <c r="Q30" s="30"/>
      <c r="R30" s="30"/>
      <c r="S30" s="13">
        <f t="shared" si="5"/>
        <v>5</v>
      </c>
    </row>
    <row r="31" spans="1:20" ht="15.75" customHeight="1" x14ac:dyDescent="0.25">
      <c r="A31" s="264">
        <v>43981</v>
      </c>
      <c r="B31" s="225" t="str">
        <f t="shared" si="4"/>
        <v>So</v>
      </c>
      <c r="C31" s="243">
        <v>5</v>
      </c>
      <c r="D31" s="216">
        <f t="shared" si="1"/>
        <v>20</v>
      </c>
      <c r="E31" s="252" t="s">
        <v>147</v>
      </c>
      <c r="F31" s="257"/>
      <c r="G31" s="238" t="s">
        <v>142</v>
      </c>
      <c r="H31" s="239" t="s">
        <v>78</v>
      </c>
      <c r="I31" s="256" t="s">
        <v>143</v>
      </c>
      <c r="J31" s="231"/>
      <c r="K31" s="241" t="s">
        <v>16</v>
      </c>
      <c r="L31" s="38">
        <v>4</v>
      </c>
      <c r="M31" s="36"/>
      <c r="N31" s="36"/>
      <c r="O31" s="30"/>
      <c r="P31" s="30"/>
      <c r="Q31" s="30"/>
      <c r="R31" s="30"/>
      <c r="S31" s="13">
        <f t="shared" si="5"/>
        <v>6</v>
      </c>
    </row>
    <row r="32" spans="1:20" ht="15.75" customHeight="1" x14ac:dyDescent="0.25">
      <c r="A32" s="266">
        <v>43982</v>
      </c>
      <c r="B32" s="267" t="str">
        <f t="shared" si="4"/>
        <v>Ne</v>
      </c>
      <c r="C32" s="365">
        <v>0</v>
      </c>
      <c r="D32" s="216">
        <f t="shared" si="1"/>
        <v>0</v>
      </c>
      <c r="E32" s="366"/>
      <c r="F32" s="367"/>
      <c r="G32" s="368"/>
      <c r="H32" s="423"/>
      <c r="I32" s="367"/>
      <c r="J32" s="369"/>
      <c r="K32" s="370"/>
      <c r="L32" s="38"/>
      <c r="M32" s="38"/>
      <c r="N32" s="38"/>
      <c r="O32" s="38"/>
      <c r="P32" s="30"/>
      <c r="Q32" s="30"/>
      <c r="R32" s="30"/>
      <c r="S32" s="13">
        <f t="shared" si="5"/>
        <v>7</v>
      </c>
    </row>
    <row r="33" spans="1:20" ht="15.75" customHeight="1" x14ac:dyDescent="0.25">
      <c r="L33" s="38"/>
      <c r="M33" s="38"/>
      <c r="N33" s="38"/>
      <c r="O33" s="38"/>
      <c r="P33" s="30"/>
      <c r="Q33" s="30"/>
      <c r="R33" s="30"/>
    </row>
    <row r="34" spans="1:20" ht="15.75" customHeight="1" x14ac:dyDescent="0.25">
      <c r="L34" s="38"/>
      <c r="M34" s="38"/>
      <c r="N34" s="38"/>
      <c r="O34" s="38"/>
      <c r="P34" s="30"/>
      <c r="Q34" s="30"/>
      <c r="R34" s="30"/>
    </row>
    <row r="35" spans="1:20" ht="15.75" customHeight="1" x14ac:dyDescent="0.25">
      <c r="A35" s="30"/>
      <c r="B35" s="30"/>
      <c r="C35" s="30"/>
      <c r="D35" s="30"/>
      <c r="E35" s="30"/>
      <c r="F35" s="30"/>
      <c r="G35" s="30"/>
      <c r="H35" s="13"/>
      <c r="L35" s="30"/>
      <c r="M35" s="30"/>
      <c r="N35" s="30"/>
      <c r="O35" s="30"/>
      <c r="P35" s="30"/>
      <c r="Q35" s="30"/>
    </row>
    <row r="36" spans="1:20" ht="15.75" customHeight="1" x14ac:dyDescent="0.25">
      <c r="A36" s="1257" t="s">
        <v>80</v>
      </c>
      <c r="B36" s="1258"/>
      <c r="C36" s="1263" t="s">
        <v>81</v>
      </c>
      <c r="D36" s="1264"/>
      <c r="N36" s="30"/>
      <c r="O36" s="40"/>
      <c r="P36" s="40"/>
      <c r="Q36" s="40"/>
    </row>
    <row r="37" spans="1:20" ht="15.75" customHeight="1" x14ac:dyDescent="0.25">
      <c r="A37" s="268" t="s">
        <v>47</v>
      </c>
      <c r="B37" s="269" t="s">
        <v>82</v>
      </c>
      <c r="C37" s="268" t="s">
        <v>47</v>
      </c>
      <c r="D37" s="270" t="s">
        <v>82</v>
      </c>
      <c r="N37" s="30"/>
      <c r="O37" s="40"/>
      <c r="P37" s="40"/>
      <c r="Q37" s="40"/>
      <c r="R37" s="40"/>
      <c r="S37" s="30"/>
    </row>
    <row r="38" spans="1:20" ht="15.75" customHeight="1" x14ac:dyDescent="0.25">
      <c r="A38" s="271">
        <v>43862</v>
      </c>
      <c r="B38" s="272">
        <v>142000</v>
      </c>
      <c r="C38" s="273">
        <v>43897</v>
      </c>
      <c r="D38" s="274">
        <v>150000</v>
      </c>
      <c r="N38" s="30"/>
      <c r="O38" s="40"/>
      <c r="P38" s="40"/>
      <c r="Q38" s="40"/>
      <c r="R38" s="40"/>
      <c r="S38" s="30"/>
    </row>
    <row r="39" spans="1:20" ht="15.75" customHeight="1" x14ac:dyDescent="0.25">
      <c r="A39" s="30"/>
      <c r="B39" s="1260" t="s">
        <v>83</v>
      </c>
      <c r="C39" s="1258"/>
      <c r="D39" s="30"/>
      <c r="N39" s="41"/>
      <c r="O39" s="40"/>
      <c r="P39" s="40"/>
      <c r="Q39" s="40"/>
      <c r="R39" s="40"/>
      <c r="S39" s="30"/>
    </row>
    <row r="40" spans="1:20" ht="15.75" customHeight="1" x14ac:dyDescent="0.25">
      <c r="A40" s="275"/>
      <c r="B40" s="1261">
        <f>D38-B38</f>
        <v>8000</v>
      </c>
      <c r="C40" s="1262"/>
      <c r="D40" s="30"/>
      <c r="N40" s="41"/>
      <c r="O40" s="40"/>
      <c r="P40" s="40"/>
      <c r="Q40" s="40"/>
      <c r="R40" s="40"/>
      <c r="S40" s="30"/>
    </row>
    <row r="41" spans="1:20" ht="15.75" customHeight="1" x14ac:dyDescent="0.25">
      <c r="M41" s="41"/>
      <c r="O41" s="41"/>
      <c r="P41" s="40"/>
      <c r="Q41" s="40"/>
      <c r="R41" s="40"/>
      <c r="S41" s="40"/>
      <c r="T41" s="30"/>
    </row>
    <row r="42" spans="1:20" ht="15.75" customHeight="1" x14ac:dyDescent="0.25">
      <c r="M42" s="41"/>
      <c r="O42" s="41"/>
      <c r="P42" s="40"/>
      <c r="Q42" s="40"/>
      <c r="R42" s="40"/>
      <c r="S42" s="40"/>
      <c r="T42" s="30"/>
    </row>
    <row r="43" spans="1:20" ht="15.75" customHeight="1" x14ac:dyDescent="0.25">
      <c r="M43" s="41"/>
      <c r="O43" s="41"/>
      <c r="P43" s="40"/>
      <c r="Q43" s="40"/>
      <c r="R43" s="40"/>
      <c r="S43" s="40"/>
      <c r="T43" s="30"/>
    </row>
    <row r="44" spans="1:20" ht="15.75" customHeight="1" x14ac:dyDescent="0.25">
      <c r="M44" s="41"/>
      <c r="O44" s="41"/>
      <c r="P44" s="40"/>
      <c r="Q44" s="40"/>
      <c r="R44" s="40"/>
      <c r="S44" s="40"/>
      <c r="T44" s="30"/>
    </row>
    <row r="45" spans="1:20" ht="15.75" customHeight="1" x14ac:dyDescent="0.25">
      <c r="M45" s="41"/>
      <c r="O45" s="41"/>
      <c r="P45" s="40"/>
      <c r="Q45" s="40"/>
      <c r="R45" s="40"/>
      <c r="S45" s="40"/>
      <c r="T45" s="30"/>
    </row>
    <row r="46" spans="1:20" ht="15.75" customHeight="1" x14ac:dyDescent="0.25">
      <c r="M46" s="41"/>
      <c r="O46" s="41"/>
      <c r="P46" s="40"/>
      <c r="Q46" s="40"/>
      <c r="R46" s="40"/>
      <c r="S46" s="40"/>
      <c r="T46" s="30"/>
    </row>
    <row r="47" spans="1:20" ht="15.75" customHeight="1" x14ac:dyDescent="0.25">
      <c r="M47" s="41"/>
      <c r="O47" s="41"/>
      <c r="P47" s="40"/>
      <c r="Q47" s="40"/>
      <c r="R47" s="40"/>
      <c r="S47" s="40"/>
      <c r="T47" s="30"/>
    </row>
    <row r="48" spans="1:20" ht="15.75" customHeight="1" x14ac:dyDescent="0.25">
      <c r="M48" s="41"/>
      <c r="O48" s="41"/>
      <c r="P48" s="40"/>
      <c r="Q48" s="40"/>
      <c r="R48" s="40"/>
      <c r="S48" s="40"/>
      <c r="T48" s="30"/>
    </row>
    <row r="49" spans="13:20" ht="15.75" customHeight="1" x14ac:dyDescent="0.25">
      <c r="M49" s="41"/>
      <c r="O49" s="41"/>
      <c r="P49" s="40"/>
      <c r="Q49" s="40"/>
      <c r="R49" s="40"/>
      <c r="S49" s="40"/>
      <c r="T49" s="30"/>
    </row>
    <row r="50" spans="13:20" ht="15.75" customHeight="1" x14ac:dyDescent="0.25">
      <c r="M50" s="41"/>
      <c r="O50" s="41"/>
      <c r="P50" s="40"/>
      <c r="Q50" s="40"/>
      <c r="R50" s="40"/>
      <c r="S50" s="40"/>
      <c r="T50" s="30"/>
    </row>
    <row r="51" spans="13:20" ht="15.75" customHeight="1" x14ac:dyDescent="0.25">
      <c r="M51" s="41"/>
      <c r="O51" s="41"/>
      <c r="P51" s="40"/>
      <c r="Q51" s="40"/>
      <c r="R51" s="40"/>
      <c r="S51" s="40"/>
      <c r="T51" s="30"/>
    </row>
    <row r="52" spans="13:20" ht="15.75" customHeight="1" x14ac:dyDescent="0.25">
      <c r="M52" s="41"/>
      <c r="O52" s="41"/>
      <c r="P52" s="40"/>
      <c r="Q52" s="40"/>
      <c r="R52" s="40"/>
      <c r="S52" s="40"/>
      <c r="T52" s="30"/>
    </row>
    <row r="53" spans="13:20" ht="15.75" customHeight="1" x14ac:dyDescent="0.25">
      <c r="M53" s="41"/>
      <c r="O53" s="41"/>
      <c r="P53" s="40"/>
      <c r="Q53" s="40"/>
      <c r="R53" s="40"/>
      <c r="S53" s="40"/>
      <c r="T53" s="30"/>
    </row>
    <row r="54" spans="13:20" ht="15.75" customHeight="1" x14ac:dyDescent="0.25">
      <c r="M54" s="41"/>
      <c r="O54" s="41"/>
      <c r="P54" s="40"/>
      <c r="Q54" s="40"/>
      <c r="R54" s="40"/>
      <c r="S54" s="40"/>
      <c r="T54" s="30"/>
    </row>
    <row r="55" spans="13:20" ht="15.75" customHeight="1" x14ac:dyDescent="0.25">
      <c r="M55" s="41"/>
      <c r="O55" s="41"/>
      <c r="P55" s="40"/>
      <c r="Q55" s="40"/>
      <c r="R55" s="40"/>
      <c r="S55" s="40"/>
      <c r="T55" s="30"/>
    </row>
    <row r="56" spans="13:20" ht="15.75" customHeight="1" x14ac:dyDescent="0.25">
      <c r="M56" s="41"/>
      <c r="O56" s="41"/>
      <c r="P56" s="40"/>
      <c r="Q56" s="40"/>
      <c r="R56" s="40"/>
      <c r="S56" s="40"/>
      <c r="T56" s="30"/>
    </row>
    <row r="57" spans="13:20" ht="15.75" customHeight="1" x14ac:dyDescent="0.25">
      <c r="M57" s="41"/>
      <c r="O57" s="41"/>
      <c r="P57" s="40"/>
      <c r="Q57" s="40"/>
      <c r="R57" s="40"/>
      <c r="S57" s="40"/>
      <c r="T57" s="30"/>
    </row>
    <row r="58" spans="13:20" ht="15.75" customHeight="1" x14ac:dyDescent="0.25">
      <c r="M58" s="41"/>
      <c r="O58" s="41"/>
      <c r="P58" s="40"/>
      <c r="Q58" s="40"/>
      <c r="R58" s="40"/>
      <c r="S58" s="40"/>
      <c r="T58" s="30"/>
    </row>
    <row r="59" spans="13:20" ht="15.75" customHeight="1" x14ac:dyDescent="0.25">
      <c r="M59" s="41"/>
      <c r="O59" s="41"/>
      <c r="P59" s="40"/>
      <c r="Q59" s="40"/>
      <c r="R59" s="40"/>
      <c r="S59" s="40"/>
      <c r="T59" s="30"/>
    </row>
    <row r="60" spans="13:20" ht="15.75" customHeight="1" x14ac:dyDescent="0.25">
      <c r="M60" s="41"/>
      <c r="O60" s="41"/>
      <c r="P60" s="40"/>
      <c r="Q60" s="40"/>
      <c r="R60" s="40"/>
      <c r="S60" s="40"/>
      <c r="T60" s="30"/>
    </row>
    <row r="61" spans="13:20" ht="15.75" customHeight="1" x14ac:dyDescent="0.25">
      <c r="M61" s="41"/>
      <c r="O61" s="41"/>
      <c r="P61" s="40"/>
      <c r="Q61" s="40"/>
      <c r="R61" s="40"/>
      <c r="S61" s="40"/>
      <c r="T61" s="30"/>
    </row>
    <row r="62" spans="13:20" ht="15.75" customHeight="1" x14ac:dyDescent="0.25">
      <c r="M62" s="41"/>
      <c r="O62" s="41"/>
      <c r="P62" s="40"/>
      <c r="Q62" s="40"/>
      <c r="R62" s="40"/>
      <c r="S62" s="40"/>
      <c r="T62" s="30"/>
    </row>
    <row r="63" spans="13:20" ht="15.75" customHeight="1" x14ac:dyDescent="0.25">
      <c r="M63" s="41"/>
      <c r="O63" s="41"/>
      <c r="P63" s="40"/>
      <c r="Q63" s="40"/>
      <c r="R63" s="40"/>
      <c r="S63" s="40"/>
      <c r="T63" s="30"/>
    </row>
    <row r="64" spans="13:20" ht="15.75" customHeight="1" x14ac:dyDescent="0.25">
      <c r="M64" s="41"/>
      <c r="O64" s="41"/>
      <c r="P64" s="40"/>
      <c r="Q64" s="40"/>
      <c r="R64" s="40"/>
      <c r="S64" s="40"/>
      <c r="T64" s="30"/>
    </row>
    <row r="65" spans="13:20" ht="15.75" customHeight="1" x14ac:dyDescent="0.25">
      <c r="M65" s="41"/>
      <c r="O65" s="41"/>
      <c r="P65" s="40"/>
      <c r="Q65" s="40"/>
      <c r="R65" s="40"/>
      <c r="S65" s="40"/>
      <c r="T65" s="30"/>
    </row>
    <row r="66" spans="13:20" ht="15.75" customHeight="1" x14ac:dyDescent="0.25">
      <c r="M66" s="41"/>
      <c r="O66" s="41"/>
      <c r="P66" s="40"/>
      <c r="Q66" s="40"/>
      <c r="R66" s="40"/>
      <c r="S66" s="40"/>
      <c r="T66" s="30"/>
    </row>
    <row r="67" spans="13:20" ht="15.75" customHeight="1" x14ac:dyDescent="0.25">
      <c r="M67" s="41"/>
      <c r="O67" s="41"/>
      <c r="P67" s="40"/>
      <c r="Q67" s="40"/>
      <c r="R67" s="40"/>
      <c r="S67" s="40"/>
      <c r="T67" s="30"/>
    </row>
    <row r="68" spans="13:20" ht="15.75" customHeight="1" x14ac:dyDescent="0.25">
      <c r="M68" s="41"/>
      <c r="O68" s="41"/>
      <c r="P68" s="40"/>
      <c r="Q68" s="40"/>
      <c r="R68" s="40"/>
      <c r="S68" s="40"/>
      <c r="T68" s="30"/>
    </row>
    <row r="69" spans="13:20" ht="15.75" customHeight="1" x14ac:dyDescent="0.25">
      <c r="M69" s="41"/>
      <c r="O69" s="41"/>
      <c r="P69" s="40"/>
      <c r="Q69" s="40"/>
      <c r="R69" s="40"/>
      <c r="S69" s="40"/>
      <c r="T69" s="30"/>
    </row>
    <row r="70" spans="13:20" ht="15.75" customHeight="1" x14ac:dyDescent="0.25">
      <c r="M70" s="41"/>
      <c r="O70" s="41"/>
      <c r="P70" s="40"/>
      <c r="Q70" s="40"/>
      <c r="R70" s="40"/>
      <c r="S70" s="40"/>
      <c r="T70" s="30"/>
    </row>
    <row r="71" spans="13:20" ht="15.75" customHeight="1" x14ac:dyDescent="0.25">
      <c r="M71" s="41"/>
      <c r="O71" s="41"/>
      <c r="P71" s="40"/>
      <c r="Q71" s="40"/>
      <c r="R71" s="40"/>
      <c r="S71" s="40"/>
      <c r="T71" s="30"/>
    </row>
    <row r="72" spans="13:20" ht="15.75" customHeight="1" x14ac:dyDescent="0.25">
      <c r="M72" s="41"/>
      <c r="O72" s="41"/>
      <c r="P72" s="40"/>
      <c r="Q72" s="40"/>
      <c r="R72" s="40"/>
      <c r="S72" s="40"/>
      <c r="T72" s="30"/>
    </row>
    <row r="73" spans="13:20" ht="15.75" customHeight="1" x14ac:dyDescent="0.25">
      <c r="M73" s="41"/>
      <c r="O73" s="41"/>
      <c r="P73" s="40"/>
      <c r="Q73" s="40"/>
      <c r="R73" s="40"/>
      <c r="S73" s="40"/>
      <c r="T73" s="30"/>
    </row>
    <row r="74" spans="13:20" ht="15.75" customHeight="1" x14ac:dyDescent="0.25">
      <c r="M74" s="41"/>
      <c r="O74" s="41"/>
      <c r="P74" s="40"/>
      <c r="Q74" s="40"/>
      <c r="R74" s="40"/>
      <c r="S74" s="40"/>
      <c r="T74" s="30"/>
    </row>
    <row r="75" spans="13:20" ht="15.75" customHeight="1" x14ac:dyDescent="0.25">
      <c r="M75" s="41"/>
      <c r="O75" s="41"/>
      <c r="P75" s="40"/>
      <c r="Q75" s="40"/>
      <c r="R75" s="40"/>
      <c r="S75" s="40"/>
      <c r="T75" s="30"/>
    </row>
    <row r="76" spans="13:20" ht="15" customHeight="1" x14ac:dyDescent="0.25">
      <c r="M76" s="41"/>
      <c r="O76" s="41"/>
    </row>
    <row r="77" spans="13:20" ht="15" customHeight="1" x14ac:dyDescent="0.25">
      <c r="M77" s="41"/>
      <c r="O77" s="41"/>
    </row>
    <row r="78" spans="13:20" ht="15" customHeight="1" x14ac:dyDescent="0.25">
      <c r="M78" s="40"/>
      <c r="O78" s="40"/>
    </row>
    <row r="79" spans="13:20" ht="15" customHeight="1" x14ac:dyDescent="0.25">
      <c r="M79" s="40"/>
      <c r="O79" s="40"/>
    </row>
    <row r="80" spans="13:20" ht="15" customHeight="1" x14ac:dyDescent="0.25">
      <c r="M80" s="40"/>
      <c r="O80" s="40"/>
    </row>
    <row r="91" spans="1:1" ht="15.75" customHeight="1" x14ac:dyDescent="0.25">
      <c r="A91" s="42"/>
    </row>
    <row r="92" spans="1:1" ht="15.75" customHeight="1" x14ac:dyDescent="0.25">
      <c r="A92" s="42"/>
    </row>
    <row r="93" spans="1:1" ht="15.75" customHeight="1" x14ac:dyDescent="0.25">
      <c r="A93" s="42"/>
    </row>
    <row r="94" spans="1:1" ht="15.75" customHeight="1" x14ac:dyDescent="0.25">
      <c r="A94" s="42"/>
    </row>
    <row r="95" spans="1:1" ht="15.75" customHeight="1" x14ac:dyDescent="0.25">
      <c r="A95" s="42"/>
    </row>
    <row r="96" spans="1:1" ht="15.75" customHeight="1" x14ac:dyDescent="0.25">
      <c r="A96" s="42"/>
    </row>
    <row r="97" spans="1:1" ht="15.75" customHeight="1" x14ac:dyDescent="0.25">
      <c r="A97" s="42"/>
    </row>
    <row r="98" spans="1:1" ht="15.75" customHeight="1" x14ac:dyDescent="0.25">
      <c r="A98" s="42"/>
    </row>
    <row r="99" spans="1:1" ht="15.75" customHeight="1" x14ac:dyDescent="0.25">
      <c r="A99" s="42"/>
    </row>
    <row r="100" spans="1:1" ht="15.75" customHeight="1" x14ac:dyDescent="0.25">
      <c r="A100" s="42"/>
    </row>
  </sheetData>
  <mergeCells count="5">
    <mergeCell ref="A36:B36"/>
    <mergeCell ref="B39:C39"/>
    <mergeCell ref="B40:C40"/>
    <mergeCell ref="C36:D36"/>
    <mergeCell ref="M25:N25"/>
  </mergeCells>
  <conditionalFormatting sqref="A2:F2 H2:K13 E3:F13 B3:C18 A3:A26 D3:D26 G7:G8 E14:K26 B19 B20:C26">
    <cfRule type="expression" dxfId="152" priority="2">
      <formula>$T2&gt;5</formula>
    </cfRule>
  </conditionalFormatting>
  <conditionalFormatting sqref="A27:K32">
    <cfRule type="expression" dxfId="151" priority="1">
      <formula>$S27&gt;5</formula>
    </cfRule>
  </conditionalFormatting>
  <conditionalFormatting sqref="G3:G4">
    <cfRule type="expression" dxfId="150" priority="6">
      <formula>$T3&gt;5</formula>
    </cfRule>
  </conditionalFormatting>
  <conditionalFormatting sqref="G10:G11">
    <cfRule type="expression" dxfId="149" priority="4">
      <formula>$T10&gt;5</formula>
    </cfRule>
  </conditionalFormatting>
  <conditionalFormatting sqref="L2:L26">
    <cfRule type="expression" dxfId="148" priority="8">
      <formula>$U2&gt;5</formula>
    </cfRule>
  </conditionalFormatting>
  <pageMargins left="0.7" right="0.7" top="0.75" bottom="0.75" header="0" footer="0"/>
  <pageSetup orientation="landscape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1517E6-1D9E-5046-AAF0-ED492C7755C2}">
  <dimension ref="A1:V45"/>
  <sheetViews>
    <sheetView zoomScaleNormal="60" zoomScaleSheetLayoutView="100" workbookViewId="0">
      <selection activeCell="Y22" sqref="Y22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0" bestFit="1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425781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44256</v>
      </c>
      <c r="B2" s="656" t="str">
        <f t="shared" ref="B2:B35" si="0">CHOOSE(WEEKDAY(V2),"Po","Út","St","Čt","Pá","So","Ne")</f>
        <v>Po</v>
      </c>
      <c r="C2" s="748">
        <f t="shared" ref="C2:C35" si="1">G2-E2-F2</f>
        <v>0</v>
      </c>
      <c r="D2" s="836">
        <f t="shared" ref="D2:D35" si="2">(N2*C2)*24</f>
        <v>0</v>
      </c>
      <c r="E2" s="723"/>
      <c r="F2" s="726"/>
      <c r="G2" s="726"/>
      <c r="H2" s="653"/>
      <c r="I2" s="656"/>
      <c r="J2" s="653"/>
      <c r="K2" s="656"/>
      <c r="L2" s="653"/>
      <c r="M2" s="656" t="s">
        <v>16</v>
      </c>
      <c r="N2" s="713">
        <v>0</v>
      </c>
      <c r="O2" s="834">
        <f>(O4+O6)</f>
        <v>223</v>
      </c>
      <c r="P2" s="716">
        <f t="shared" ref="P2" si="3">P4+P6</f>
        <v>223</v>
      </c>
      <c r="Q2" s="710">
        <v>27021</v>
      </c>
      <c r="R2" s="644" t="s">
        <v>17</v>
      </c>
      <c r="S2" s="644" t="s">
        <v>314</v>
      </c>
      <c r="T2" s="875">
        <v>44271</v>
      </c>
      <c r="U2" s="722">
        <f>T7*20</f>
        <v>0</v>
      </c>
      <c r="V2" s="642">
        <f t="shared" ref="V2:V32" si="4">WEEKDAY(A2,2)</f>
        <v>1</v>
      </c>
    </row>
    <row r="3" spans="1:22" ht="15.75" thickBot="1" x14ac:dyDescent="0.3">
      <c r="A3" s="651">
        <v>44257</v>
      </c>
      <c r="B3" s="657" t="str">
        <f t="shared" si="0"/>
        <v>Út</v>
      </c>
      <c r="C3" s="748">
        <f t="shared" si="1"/>
        <v>0</v>
      </c>
      <c r="D3" s="837">
        <f t="shared" si="2"/>
        <v>0</v>
      </c>
      <c r="E3" s="724"/>
      <c r="F3" s="726"/>
      <c r="G3" s="727"/>
      <c r="H3" s="654"/>
      <c r="I3" s="657"/>
      <c r="J3" s="654"/>
      <c r="K3" s="657"/>
      <c r="L3" s="654"/>
      <c r="M3" s="657" t="s">
        <v>16</v>
      </c>
      <c r="N3" s="714">
        <v>0</v>
      </c>
      <c r="O3" s="711" t="s">
        <v>19</v>
      </c>
      <c r="P3" s="717" t="s">
        <v>19</v>
      </c>
      <c r="Q3" s="711">
        <v>0</v>
      </c>
      <c r="R3" s="611" t="s">
        <v>17</v>
      </c>
      <c r="S3" s="611" t="s">
        <v>210</v>
      </c>
      <c r="T3" s="646"/>
      <c r="U3" s="718"/>
      <c r="V3" s="642">
        <f t="shared" si="4"/>
        <v>2</v>
      </c>
    </row>
    <row r="4" spans="1:22" ht="15.75" thickBot="1" x14ac:dyDescent="0.3">
      <c r="A4" s="651">
        <v>44258</v>
      </c>
      <c r="B4" s="657" t="str">
        <f t="shared" si="0"/>
        <v>St</v>
      </c>
      <c r="C4" s="748">
        <f t="shared" si="1"/>
        <v>0</v>
      </c>
      <c r="D4" s="837">
        <f t="shared" si="2"/>
        <v>0</v>
      </c>
      <c r="E4" s="724"/>
      <c r="F4" s="726"/>
      <c r="G4" s="727"/>
      <c r="H4" s="654"/>
      <c r="I4" s="657"/>
      <c r="J4" s="654"/>
      <c r="K4" s="657"/>
      <c r="L4" s="654"/>
      <c r="M4" s="657" t="s">
        <v>16</v>
      </c>
      <c r="N4" s="714">
        <v>0</v>
      </c>
      <c r="O4" s="835">
        <f>O40*24</f>
        <v>223</v>
      </c>
      <c r="P4" s="717">
        <v>223</v>
      </c>
      <c r="Q4" s="711">
        <v>0</v>
      </c>
      <c r="R4" s="611" t="s">
        <v>17</v>
      </c>
      <c r="S4" s="611" t="s">
        <v>210</v>
      </c>
      <c r="T4" s="646"/>
      <c r="U4" s="718"/>
      <c r="V4" s="642">
        <f t="shared" si="4"/>
        <v>3</v>
      </c>
    </row>
    <row r="5" spans="1:22" ht="15.75" thickBot="1" x14ac:dyDescent="0.3">
      <c r="A5" s="651">
        <v>44259</v>
      </c>
      <c r="B5" s="657" t="str">
        <f t="shared" si="0"/>
        <v>Čt</v>
      </c>
      <c r="C5" s="748">
        <f t="shared" si="1"/>
        <v>0</v>
      </c>
      <c r="D5" s="837">
        <f t="shared" si="2"/>
        <v>0</v>
      </c>
      <c r="E5" s="724"/>
      <c r="F5" s="726"/>
      <c r="G5" s="727"/>
      <c r="H5" s="654"/>
      <c r="I5" s="657"/>
      <c r="J5" s="654"/>
      <c r="K5" s="657"/>
      <c r="L5" s="654"/>
      <c r="M5" s="657" t="s">
        <v>16</v>
      </c>
      <c r="N5" s="714">
        <v>0</v>
      </c>
      <c r="O5" s="711" t="s">
        <v>14</v>
      </c>
      <c r="P5" s="717" t="s">
        <v>14</v>
      </c>
      <c r="Q5" s="711">
        <v>56494</v>
      </c>
      <c r="R5" s="611" t="s">
        <v>17</v>
      </c>
      <c r="S5" s="611" t="s">
        <v>313</v>
      </c>
      <c r="T5" s="874">
        <v>44302</v>
      </c>
      <c r="U5" s="718"/>
      <c r="V5" s="642">
        <f t="shared" si="4"/>
        <v>4</v>
      </c>
    </row>
    <row r="6" spans="1:22" ht="15.75" thickBot="1" x14ac:dyDescent="0.3">
      <c r="A6" s="651">
        <v>44260</v>
      </c>
      <c r="B6" s="657" t="str">
        <f t="shared" si="0"/>
        <v>Pá</v>
      </c>
      <c r="C6" s="748">
        <f t="shared" si="1"/>
        <v>0</v>
      </c>
      <c r="D6" s="837">
        <f t="shared" si="2"/>
        <v>0</v>
      </c>
      <c r="E6" s="724"/>
      <c r="F6" s="726"/>
      <c r="G6" s="727"/>
      <c r="H6" s="654"/>
      <c r="I6" s="657"/>
      <c r="J6" s="654"/>
      <c r="K6" s="657"/>
      <c r="L6" s="654"/>
      <c r="M6" s="657" t="s">
        <v>16</v>
      </c>
      <c r="N6" s="714">
        <v>0</v>
      </c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4"/>
        <v>5</v>
      </c>
    </row>
    <row r="7" spans="1:22" ht="15.75" thickBot="1" x14ac:dyDescent="0.3">
      <c r="A7" s="651">
        <v>44261</v>
      </c>
      <c r="B7" s="657" t="str">
        <f t="shared" si="0"/>
        <v>So</v>
      </c>
      <c r="C7" s="748">
        <f t="shared" si="1"/>
        <v>0</v>
      </c>
      <c r="D7" s="837">
        <f t="shared" si="2"/>
        <v>0</v>
      </c>
      <c r="E7" s="724"/>
      <c r="F7" s="726"/>
      <c r="G7" s="727"/>
      <c r="H7" s="654"/>
      <c r="I7" s="657"/>
      <c r="J7" s="654"/>
      <c r="K7" s="657"/>
      <c r="L7" s="654"/>
      <c r="M7" s="657" t="s">
        <v>16</v>
      </c>
      <c r="N7" s="714">
        <v>0</v>
      </c>
      <c r="O7" s="711" t="s">
        <v>20</v>
      </c>
      <c r="P7" s="646" t="s">
        <v>20</v>
      </c>
      <c r="Q7" s="721">
        <f>Q3+Q4</f>
        <v>0</v>
      </c>
      <c r="R7" s="718"/>
      <c r="S7" s="718"/>
      <c r="T7" s="718"/>
      <c r="U7" s="718"/>
      <c r="V7" s="642">
        <f t="shared" si="4"/>
        <v>6</v>
      </c>
    </row>
    <row r="8" spans="1:22" ht="15.75" thickBot="1" x14ac:dyDescent="0.3">
      <c r="A8" s="651">
        <v>44262</v>
      </c>
      <c r="B8" s="657" t="str">
        <f t="shared" si="0"/>
        <v>Ne</v>
      </c>
      <c r="C8" s="748">
        <f t="shared" si="1"/>
        <v>0</v>
      </c>
      <c r="D8" s="837">
        <f t="shared" si="2"/>
        <v>0</v>
      </c>
      <c r="E8" s="724"/>
      <c r="F8" s="726"/>
      <c r="G8" s="727"/>
      <c r="H8" s="654"/>
      <c r="I8" s="657"/>
      <c r="J8" s="654"/>
      <c r="K8" s="657"/>
      <c r="L8" s="654"/>
      <c r="M8" s="657" t="s">
        <v>16</v>
      </c>
      <c r="N8" s="714">
        <v>0</v>
      </c>
      <c r="O8" s="711" t="s">
        <v>22</v>
      </c>
      <c r="P8" s="646" t="s">
        <v>22</v>
      </c>
      <c r="Q8" s="657" t="s">
        <v>229</v>
      </c>
      <c r="R8" s="718"/>
      <c r="S8" s="718"/>
      <c r="T8" s="718"/>
      <c r="U8" s="718"/>
      <c r="V8" s="642">
        <f t="shared" si="4"/>
        <v>7</v>
      </c>
    </row>
    <row r="9" spans="1:22" ht="15.75" thickBot="1" x14ac:dyDescent="0.3">
      <c r="A9" s="651">
        <v>44263</v>
      </c>
      <c r="B9" s="657" t="str">
        <f t="shared" si="0"/>
        <v>Po</v>
      </c>
      <c r="C9" s="748">
        <f t="shared" si="1"/>
        <v>0.33333333333333337</v>
      </c>
      <c r="D9" s="837">
        <f t="shared" si="2"/>
        <v>40.000000000000007</v>
      </c>
      <c r="E9" s="724">
        <v>0.29166666666666669</v>
      </c>
      <c r="F9" s="726">
        <f>TIME(0,30,0)</f>
        <v>2.0833333333333332E-2</v>
      </c>
      <c r="G9" s="727">
        <v>0.64583333333333337</v>
      </c>
      <c r="H9" s="654" t="s">
        <v>325</v>
      </c>
      <c r="I9" s="657" t="s">
        <v>318</v>
      </c>
      <c r="J9" s="654" t="s">
        <v>139</v>
      </c>
      <c r="K9" s="657" t="s">
        <v>326</v>
      </c>
      <c r="L9" s="654" t="s">
        <v>300</v>
      </c>
      <c r="M9" s="657" t="s">
        <v>16</v>
      </c>
      <c r="N9" s="714">
        <v>5</v>
      </c>
      <c r="O9" s="711" t="s">
        <v>23</v>
      </c>
      <c r="P9" s="646" t="s">
        <v>23</v>
      </c>
      <c r="Q9" s="657">
        <f>SUM(Q2:Q4)</f>
        <v>27021</v>
      </c>
      <c r="R9" s="718"/>
      <c r="S9" s="718"/>
      <c r="T9" s="718"/>
      <c r="U9" s="718"/>
      <c r="V9" s="642">
        <f t="shared" si="4"/>
        <v>1</v>
      </c>
    </row>
    <row r="10" spans="1:22" ht="15.75" thickBot="1" x14ac:dyDescent="0.3">
      <c r="A10" s="651">
        <v>44264</v>
      </c>
      <c r="B10" s="657" t="str">
        <f t="shared" si="0"/>
        <v>Út</v>
      </c>
      <c r="C10" s="748">
        <f t="shared" si="1"/>
        <v>0.4375</v>
      </c>
      <c r="D10" s="837">
        <f t="shared" si="2"/>
        <v>52.5</v>
      </c>
      <c r="E10" s="724">
        <v>0.29166666666666669</v>
      </c>
      <c r="F10" s="726">
        <f t="shared" ref="F10:F32" si="5">TIME(0,30,0)</f>
        <v>2.0833333333333332E-2</v>
      </c>
      <c r="G10" s="727">
        <v>0.75</v>
      </c>
      <c r="H10" s="654" t="s">
        <v>325</v>
      </c>
      <c r="I10" s="657" t="s">
        <v>318</v>
      </c>
      <c r="J10" s="654" t="s">
        <v>139</v>
      </c>
      <c r="K10" s="657" t="s">
        <v>326</v>
      </c>
      <c r="L10" s="654" t="s">
        <v>300</v>
      </c>
      <c r="M10" s="657" t="s">
        <v>16</v>
      </c>
      <c r="N10" s="714">
        <v>5</v>
      </c>
      <c r="O10" s="738">
        <f>(O2*360)+U2</f>
        <v>80280</v>
      </c>
      <c r="P10" s="747">
        <f>SUM(P2*360)</f>
        <v>80280</v>
      </c>
      <c r="Q10" s="719"/>
      <c r="R10" s="718"/>
      <c r="S10" s="718"/>
      <c r="T10" s="718"/>
      <c r="U10" s="718"/>
      <c r="V10" s="642">
        <f t="shared" si="4"/>
        <v>2</v>
      </c>
    </row>
    <row r="11" spans="1:22" ht="15.75" thickBot="1" x14ac:dyDescent="0.3">
      <c r="A11" s="651">
        <v>44265</v>
      </c>
      <c r="B11" s="657" t="str">
        <f t="shared" si="0"/>
        <v>St</v>
      </c>
      <c r="C11" s="748">
        <f t="shared" si="1"/>
        <v>0.4375</v>
      </c>
      <c r="D11" s="837">
        <f t="shared" si="2"/>
        <v>63</v>
      </c>
      <c r="E11" s="724">
        <v>0.29166666666666669</v>
      </c>
      <c r="F11" s="726">
        <f t="shared" si="5"/>
        <v>2.0833333333333332E-2</v>
      </c>
      <c r="G11" s="727">
        <v>0.75</v>
      </c>
      <c r="H11" s="654" t="s">
        <v>325</v>
      </c>
      <c r="I11" s="657" t="s">
        <v>318</v>
      </c>
      <c r="J11" s="654" t="s">
        <v>139</v>
      </c>
      <c r="K11" s="657" t="s">
        <v>326</v>
      </c>
      <c r="L11" s="654" t="s">
        <v>300</v>
      </c>
      <c r="M11" s="657" t="s">
        <v>16</v>
      </c>
      <c r="N11" s="714">
        <v>6</v>
      </c>
      <c r="O11" s="711" t="s">
        <v>24</v>
      </c>
      <c r="P11" s="646" t="s">
        <v>24</v>
      </c>
      <c r="Q11" s="718"/>
      <c r="R11" s="718"/>
      <c r="S11" s="718"/>
      <c r="T11" s="718"/>
      <c r="U11" s="718"/>
      <c r="V11" s="642">
        <f t="shared" si="4"/>
        <v>3</v>
      </c>
    </row>
    <row r="12" spans="1:22" ht="15.75" thickBot="1" x14ac:dyDescent="0.3">
      <c r="A12" s="651">
        <v>44266</v>
      </c>
      <c r="B12" s="657" t="str">
        <f t="shared" si="0"/>
        <v>Čt</v>
      </c>
      <c r="C12" s="748">
        <f t="shared" si="1"/>
        <v>0.4375</v>
      </c>
      <c r="D12" s="837">
        <f t="shared" si="2"/>
        <v>42</v>
      </c>
      <c r="E12" s="724">
        <v>0.29166666666666669</v>
      </c>
      <c r="F12" s="726">
        <f>TIME(0,30,0)</f>
        <v>2.0833333333333332E-2</v>
      </c>
      <c r="G12" s="727">
        <v>0.75</v>
      </c>
      <c r="H12" s="654" t="s">
        <v>325</v>
      </c>
      <c r="I12" s="657" t="s">
        <v>318</v>
      </c>
      <c r="J12" s="654" t="s">
        <v>139</v>
      </c>
      <c r="K12" s="657" t="s">
        <v>326</v>
      </c>
      <c r="L12" s="654" t="s">
        <v>300</v>
      </c>
      <c r="M12" s="657" t="s">
        <v>16</v>
      </c>
      <c r="N12" s="714">
        <v>4</v>
      </c>
      <c r="O12" s="738">
        <f>(O10+O20+O18-O22)-O14</f>
        <v>61906.559999999998</v>
      </c>
      <c r="P12" s="747">
        <f>(P10+P18+P20-P22)-P14</f>
        <v>85328</v>
      </c>
      <c r="Q12" s="718"/>
      <c r="R12" s="718"/>
      <c r="S12" s="718"/>
      <c r="T12" s="718"/>
      <c r="U12" s="718"/>
      <c r="V12" s="642">
        <f t="shared" si="4"/>
        <v>4</v>
      </c>
    </row>
    <row r="13" spans="1:22" ht="15.75" thickBot="1" x14ac:dyDescent="0.3">
      <c r="A13" s="651">
        <v>44267</v>
      </c>
      <c r="B13" s="657" t="str">
        <f t="shared" si="0"/>
        <v>Pá</v>
      </c>
      <c r="C13" s="748">
        <f t="shared" si="1"/>
        <v>0.4375</v>
      </c>
      <c r="D13" s="837">
        <f t="shared" si="2"/>
        <v>84</v>
      </c>
      <c r="E13" s="724">
        <v>0.29166666666666669</v>
      </c>
      <c r="F13" s="726">
        <f t="shared" si="5"/>
        <v>2.0833333333333332E-2</v>
      </c>
      <c r="G13" s="727">
        <v>0.75</v>
      </c>
      <c r="H13" s="654" t="s">
        <v>325</v>
      </c>
      <c r="I13" s="657" t="s">
        <v>318</v>
      </c>
      <c r="J13" s="654" t="s">
        <v>139</v>
      </c>
      <c r="K13" s="657" t="s">
        <v>326</v>
      </c>
      <c r="L13" s="654" t="s">
        <v>300</v>
      </c>
      <c r="M13" s="657" t="s">
        <v>16</v>
      </c>
      <c r="N13" s="714">
        <v>8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5</v>
      </c>
    </row>
    <row r="14" spans="1:22" ht="15.75" thickBot="1" x14ac:dyDescent="0.3">
      <c r="A14" s="651">
        <v>44268</v>
      </c>
      <c r="B14" s="657" t="str">
        <f t="shared" si="0"/>
        <v>So</v>
      </c>
      <c r="C14" s="748">
        <f t="shared" si="1"/>
        <v>0.3125</v>
      </c>
      <c r="D14" s="837">
        <f t="shared" si="2"/>
        <v>60</v>
      </c>
      <c r="E14" s="724">
        <v>0.29166666666666669</v>
      </c>
      <c r="F14" s="726">
        <f t="shared" si="5"/>
        <v>2.0833333333333332E-2</v>
      </c>
      <c r="G14" s="727">
        <v>0.625</v>
      </c>
      <c r="H14" s="654" t="s">
        <v>325</v>
      </c>
      <c r="I14" s="657" t="s">
        <v>318</v>
      </c>
      <c r="J14" s="654" t="s">
        <v>139</v>
      </c>
      <c r="K14" s="657" t="s">
        <v>326</v>
      </c>
      <c r="L14" s="654" t="s">
        <v>300</v>
      </c>
      <c r="M14" s="657" t="s">
        <v>16</v>
      </c>
      <c r="N14" s="714">
        <v>8</v>
      </c>
      <c r="O14" s="738">
        <f>(O16*26.14)</f>
        <v>39105.440000000002</v>
      </c>
      <c r="P14" s="747">
        <f>(P16*26.14)</f>
        <v>15684</v>
      </c>
      <c r="Q14" s="718"/>
      <c r="R14" s="718"/>
      <c r="S14" s="718"/>
      <c r="T14" s="718"/>
      <c r="U14" s="718"/>
      <c r="V14" s="642">
        <f t="shared" si="4"/>
        <v>6</v>
      </c>
    </row>
    <row r="15" spans="1:22" ht="15.75" thickBot="1" x14ac:dyDescent="0.3">
      <c r="A15" s="651">
        <v>44269</v>
      </c>
      <c r="B15" s="657" t="str">
        <f t="shared" si="0"/>
        <v>Ne</v>
      </c>
      <c r="C15" s="748">
        <f t="shared" si="1"/>
        <v>0</v>
      </c>
      <c r="D15" s="837">
        <f t="shared" si="2"/>
        <v>0</v>
      </c>
      <c r="E15" s="724"/>
      <c r="F15" s="726"/>
      <c r="G15" s="727"/>
      <c r="H15" s="654" t="s">
        <v>325</v>
      </c>
      <c r="I15" s="657" t="s">
        <v>318</v>
      </c>
      <c r="J15" s="654" t="s">
        <v>139</v>
      </c>
      <c r="K15" s="657" t="s">
        <v>326</v>
      </c>
      <c r="L15" s="654" t="s">
        <v>300</v>
      </c>
      <c r="M15" s="657" t="s">
        <v>16</v>
      </c>
      <c r="N15" s="714">
        <v>0</v>
      </c>
      <c r="O15" s="711" t="s">
        <v>29</v>
      </c>
      <c r="P15" s="646" t="s">
        <v>29</v>
      </c>
      <c r="Q15" s="718"/>
      <c r="R15" s="718"/>
      <c r="S15" s="718"/>
      <c r="T15" s="718"/>
      <c r="U15" s="718"/>
      <c r="V15" s="642">
        <f t="shared" si="4"/>
        <v>7</v>
      </c>
    </row>
    <row r="16" spans="1:22" ht="15.75" thickBot="1" x14ac:dyDescent="0.3">
      <c r="A16" s="651">
        <v>44270</v>
      </c>
      <c r="B16" s="657" t="str">
        <f t="shared" si="0"/>
        <v>Po</v>
      </c>
      <c r="C16" s="748">
        <f t="shared" si="1"/>
        <v>0.47916666666666663</v>
      </c>
      <c r="D16" s="837">
        <f t="shared" si="2"/>
        <v>92</v>
      </c>
      <c r="E16" s="724">
        <v>0.29166666666666669</v>
      </c>
      <c r="F16" s="726">
        <f t="shared" si="5"/>
        <v>2.0833333333333332E-2</v>
      </c>
      <c r="G16" s="727">
        <v>0.79166666666666663</v>
      </c>
      <c r="H16" s="654" t="s">
        <v>325</v>
      </c>
      <c r="I16" s="657" t="s">
        <v>318</v>
      </c>
      <c r="J16" s="654" t="s">
        <v>139</v>
      </c>
      <c r="K16" s="657" t="s">
        <v>326</v>
      </c>
      <c r="L16" s="654" t="s">
        <v>300</v>
      </c>
      <c r="M16" s="657" t="s">
        <v>16</v>
      </c>
      <c r="N16" s="714">
        <v>8</v>
      </c>
      <c r="O16" s="741">
        <f>'02cash21'!O35</f>
        <v>1496</v>
      </c>
      <c r="P16" s="742">
        <v>600</v>
      </c>
      <c r="Q16" s="718"/>
      <c r="R16" s="718"/>
      <c r="S16" s="718"/>
      <c r="T16" s="718"/>
      <c r="U16" s="718"/>
      <c r="V16" s="642">
        <f t="shared" si="4"/>
        <v>1</v>
      </c>
    </row>
    <row r="17" spans="1:22" ht="15.75" thickBot="1" x14ac:dyDescent="0.3">
      <c r="A17" s="651">
        <v>44271</v>
      </c>
      <c r="B17" s="657" t="str">
        <f t="shared" si="0"/>
        <v>Út</v>
      </c>
      <c r="C17" s="748">
        <f t="shared" si="1"/>
        <v>0.47916666666666663</v>
      </c>
      <c r="D17" s="837">
        <f t="shared" si="2"/>
        <v>92</v>
      </c>
      <c r="E17" s="724">
        <v>0.29166666666666669</v>
      </c>
      <c r="F17" s="726">
        <f t="shared" si="5"/>
        <v>2.0833333333333332E-2</v>
      </c>
      <c r="G17" s="727">
        <v>0.79166666666666663</v>
      </c>
      <c r="H17" s="654" t="s">
        <v>325</v>
      </c>
      <c r="I17" s="657" t="s">
        <v>318</v>
      </c>
      <c r="J17" s="654" t="s">
        <v>139</v>
      </c>
      <c r="K17" s="657" t="s">
        <v>326</v>
      </c>
      <c r="L17" s="654" t="s">
        <v>300</v>
      </c>
      <c r="M17" s="657" t="s">
        <v>16</v>
      </c>
      <c r="N17" s="714">
        <v>8</v>
      </c>
      <c r="O17" s="711" t="s">
        <v>31</v>
      </c>
      <c r="P17" s="646" t="s">
        <v>31</v>
      </c>
      <c r="Q17" s="718"/>
      <c r="R17" s="718"/>
      <c r="S17" s="718"/>
      <c r="T17" s="718"/>
      <c r="U17" s="718"/>
      <c r="V17" s="642">
        <f t="shared" si="4"/>
        <v>2</v>
      </c>
    </row>
    <row r="18" spans="1:22" ht="15.75" thickBot="1" x14ac:dyDescent="0.3">
      <c r="A18" s="651">
        <v>44272</v>
      </c>
      <c r="B18" s="657" t="str">
        <f t="shared" si="0"/>
        <v>St</v>
      </c>
      <c r="C18" s="748">
        <f t="shared" si="1"/>
        <v>0.47916666666666663</v>
      </c>
      <c r="D18" s="837">
        <f t="shared" si="2"/>
        <v>92</v>
      </c>
      <c r="E18" s="724">
        <v>0.29166666666666669</v>
      </c>
      <c r="F18" s="726">
        <f t="shared" si="5"/>
        <v>2.0833333333333332E-2</v>
      </c>
      <c r="G18" s="727">
        <v>0.79166666666666663</v>
      </c>
      <c r="H18" s="654" t="s">
        <v>325</v>
      </c>
      <c r="I18" s="657" t="s">
        <v>318</v>
      </c>
      <c r="J18" s="654" t="s">
        <v>139</v>
      </c>
      <c r="K18" s="657" t="s">
        <v>326</v>
      </c>
      <c r="L18" s="654" t="s">
        <v>300</v>
      </c>
      <c r="M18" s="657" t="s">
        <v>16</v>
      </c>
      <c r="N18" s="714">
        <v>8</v>
      </c>
      <c r="O18" s="738">
        <v>871</v>
      </c>
      <c r="P18" s="747">
        <v>871</v>
      </c>
      <c r="Q18" s="718"/>
      <c r="R18" s="718"/>
      <c r="S18" s="718"/>
      <c r="T18" s="718"/>
      <c r="U18" s="718"/>
      <c r="V18" s="642">
        <f t="shared" si="4"/>
        <v>3</v>
      </c>
    </row>
    <row r="19" spans="1:22" ht="15.75" thickBot="1" x14ac:dyDescent="0.3">
      <c r="A19" s="651">
        <v>44273</v>
      </c>
      <c r="B19" s="657" t="str">
        <f t="shared" si="0"/>
        <v>Čt</v>
      </c>
      <c r="C19" s="748">
        <f t="shared" si="1"/>
        <v>0.47916666666666663</v>
      </c>
      <c r="D19" s="837">
        <f t="shared" si="2"/>
        <v>92</v>
      </c>
      <c r="E19" s="724">
        <v>0.29166666666666669</v>
      </c>
      <c r="F19" s="726">
        <f t="shared" si="5"/>
        <v>2.0833333333333332E-2</v>
      </c>
      <c r="G19" s="727">
        <v>0.79166666666666663</v>
      </c>
      <c r="H19" s="654" t="s">
        <v>325</v>
      </c>
      <c r="I19" s="657" t="s">
        <v>318</v>
      </c>
      <c r="J19" s="654" t="s">
        <v>139</v>
      </c>
      <c r="K19" s="657" t="s">
        <v>326</v>
      </c>
      <c r="L19" s="654" t="s">
        <v>300</v>
      </c>
      <c r="M19" s="657" t="s">
        <v>16</v>
      </c>
      <c r="N19" s="714">
        <v>8</v>
      </c>
      <c r="O19" s="738" t="s">
        <v>33</v>
      </c>
      <c r="P19" s="747" t="s">
        <v>33</v>
      </c>
      <c r="Q19" s="718"/>
      <c r="R19" s="718"/>
      <c r="S19" s="718"/>
      <c r="T19" s="718"/>
      <c r="U19" s="718"/>
      <c r="V19" s="642">
        <f t="shared" si="4"/>
        <v>4</v>
      </c>
    </row>
    <row r="20" spans="1:22" ht="15.75" thickBot="1" x14ac:dyDescent="0.3">
      <c r="A20" s="651">
        <v>44274</v>
      </c>
      <c r="B20" s="657" t="str">
        <f t="shared" si="0"/>
        <v>Pá</v>
      </c>
      <c r="C20" s="748">
        <f t="shared" si="1"/>
        <v>0.47916666666666663</v>
      </c>
      <c r="D20" s="837">
        <f t="shared" si="2"/>
        <v>92</v>
      </c>
      <c r="E20" s="724">
        <v>0.29166666666666669</v>
      </c>
      <c r="F20" s="726">
        <f t="shared" si="5"/>
        <v>2.0833333333333332E-2</v>
      </c>
      <c r="G20" s="727">
        <v>0.79166666666666663</v>
      </c>
      <c r="H20" s="654" t="s">
        <v>325</v>
      </c>
      <c r="I20" s="657" t="s">
        <v>318</v>
      </c>
      <c r="J20" s="654" t="s">
        <v>139</v>
      </c>
      <c r="K20" s="657" t="s">
        <v>326</v>
      </c>
      <c r="L20" s="654" t="s">
        <v>300</v>
      </c>
      <c r="M20" s="657" t="s">
        <v>16</v>
      </c>
      <c r="N20" s="714">
        <v>8</v>
      </c>
      <c r="O20" s="738">
        <v>19861</v>
      </c>
      <c r="P20" s="747">
        <v>19861</v>
      </c>
      <c r="Q20" s="718"/>
      <c r="R20" s="718"/>
      <c r="S20" s="718"/>
      <c r="T20" s="718"/>
      <c r="U20" s="718"/>
      <c r="V20" s="642">
        <f t="shared" si="4"/>
        <v>5</v>
      </c>
    </row>
    <row r="21" spans="1:22" ht="15.75" thickBot="1" x14ac:dyDescent="0.3">
      <c r="A21" s="651">
        <v>44275</v>
      </c>
      <c r="B21" s="657" t="str">
        <f t="shared" si="0"/>
        <v>So</v>
      </c>
      <c r="C21" s="748">
        <f t="shared" si="1"/>
        <v>0.33333333333333337</v>
      </c>
      <c r="D21" s="837">
        <f t="shared" si="2"/>
        <v>64</v>
      </c>
      <c r="E21" s="724">
        <v>0.29166666666666669</v>
      </c>
      <c r="F21" s="726">
        <f t="shared" si="5"/>
        <v>2.0833333333333332E-2</v>
      </c>
      <c r="G21" s="727">
        <v>0.64583333333333337</v>
      </c>
      <c r="H21" s="654" t="s">
        <v>325</v>
      </c>
      <c r="I21" s="657" t="s">
        <v>318</v>
      </c>
      <c r="J21" s="654" t="s">
        <v>139</v>
      </c>
      <c r="K21" s="657" t="s">
        <v>326</v>
      </c>
      <c r="L21" s="654" t="s">
        <v>300</v>
      </c>
      <c r="M21" s="657" t="s">
        <v>16</v>
      </c>
      <c r="N21" s="714">
        <v>8</v>
      </c>
      <c r="O21" s="738" t="s">
        <v>34</v>
      </c>
      <c r="P21" s="747" t="s">
        <v>34</v>
      </c>
      <c r="Q21" s="718"/>
      <c r="R21" s="718"/>
      <c r="S21" s="718"/>
      <c r="T21" s="718"/>
      <c r="U21" s="718"/>
      <c r="V21" s="642">
        <f t="shared" si="4"/>
        <v>6</v>
      </c>
    </row>
    <row r="22" spans="1:22" ht="15.75" thickBot="1" x14ac:dyDescent="0.3">
      <c r="A22" s="651">
        <v>44276</v>
      </c>
      <c r="B22" s="657" t="str">
        <f t="shared" si="0"/>
        <v>Ne</v>
      </c>
      <c r="C22" s="748">
        <f t="shared" si="1"/>
        <v>0</v>
      </c>
      <c r="D22" s="837">
        <f t="shared" si="2"/>
        <v>0</v>
      </c>
      <c r="E22" s="724"/>
      <c r="F22" s="726"/>
      <c r="G22" s="727"/>
      <c r="H22" s="654" t="s">
        <v>325</v>
      </c>
      <c r="I22" s="657" t="s">
        <v>318</v>
      </c>
      <c r="J22" s="654" t="s">
        <v>139</v>
      </c>
      <c r="K22" s="657" t="s">
        <v>326</v>
      </c>
      <c r="L22" s="654" t="s">
        <v>300</v>
      </c>
      <c r="M22" s="657" t="s">
        <v>16</v>
      </c>
      <c r="N22" s="714">
        <v>0</v>
      </c>
      <c r="O22" s="738">
        <v>0</v>
      </c>
      <c r="P22" s="747"/>
      <c r="Q22" s="718"/>
      <c r="R22" s="718"/>
      <c r="S22" s="718"/>
      <c r="T22" s="718"/>
      <c r="U22" s="718"/>
      <c r="V22" s="642">
        <f t="shared" si="4"/>
        <v>7</v>
      </c>
    </row>
    <row r="23" spans="1:22" ht="15.75" thickBot="1" x14ac:dyDescent="0.3">
      <c r="A23" s="651">
        <v>44277</v>
      </c>
      <c r="B23" s="657" t="str">
        <f t="shared" si="0"/>
        <v>Po</v>
      </c>
      <c r="C23" s="748">
        <f t="shared" si="1"/>
        <v>0.47916666666666663</v>
      </c>
      <c r="D23" s="837">
        <f t="shared" si="2"/>
        <v>92</v>
      </c>
      <c r="E23" s="724">
        <v>0.29166666666666669</v>
      </c>
      <c r="F23" s="726">
        <f t="shared" si="5"/>
        <v>2.0833333333333332E-2</v>
      </c>
      <c r="G23" s="727">
        <v>0.79166666666666663</v>
      </c>
      <c r="H23" s="654" t="s">
        <v>325</v>
      </c>
      <c r="I23" s="657" t="s">
        <v>318</v>
      </c>
      <c r="J23" s="654" t="s">
        <v>139</v>
      </c>
      <c r="K23" s="657" t="s">
        <v>326</v>
      </c>
      <c r="L23" s="654" t="s">
        <v>300</v>
      </c>
      <c r="M23" s="657" t="s">
        <v>16</v>
      </c>
      <c r="N23" s="714">
        <v>8</v>
      </c>
      <c r="O23" s="711" t="s">
        <v>35</v>
      </c>
      <c r="P23" s="646" t="s">
        <v>164</v>
      </c>
      <c r="Q23" s="718"/>
      <c r="R23" s="718"/>
      <c r="S23" s="718"/>
      <c r="T23" s="718"/>
      <c r="U23" s="718"/>
      <c r="V23" s="642">
        <f t="shared" si="4"/>
        <v>1</v>
      </c>
    </row>
    <row r="24" spans="1:22" ht="15.75" thickBot="1" x14ac:dyDescent="0.3">
      <c r="A24" s="651">
        <v>44278</v>
      </c>
      <c r="B24" s="657" t="str">
        <f t="shared" si="0"/>
        <v>Út</v>
      </c>
      <c r="C24" s="748">
        <f t="shared" si="1"/>
        <v>0.47916666666666663</v>
      </c>
      <c r="D24" s="837">
        <f t="shared" si="2"/>
        <v>92</v>
      </c>
      <c r="E24" s="724">
        <v>0.29166666666666669</v>
      </c>
      <c r="F24" s="726">
        <f t="shared" si="5"/>
        <v>2.0833333333333332E-2</v>
      </c>
      <c r="G24" s="727">
        <v>0.79166666666666663</v>
      </c>
      <c r="H24" s="654" t="s">
        <v>325</v>
      </c>
      <c r="I24" s="657" t="s">
        <v>318</v>
      </c>
      <c r="J24" s="654" t="s">
        <v>139</v>
      </c>
      <c r="K24" s="657" t="s">
        <v>326</v>
      </c>
      <c r="L24" s="654" t="s">
        <v>300</v>
      </c>
      <c r="M24" s="657" t="s">
        <v>16</v>
      </c>
      <c r="N24" s="714">
        <v>8</v>
      </c>
      <c r="O24" s="738">
        <f>O12-Q7+O28-Q5</f>
        <v>54061.56</v>
      </c>
      <c r="P24" s="747">
        <f>P12-Q5-Q7-P26</f>
        <v>-43800</v>
      </c>
      <c r="Q24" s="718"/>
      <c r="R24" s="718"/>
      <c r="S24" s="718"/>
      <c r="T24" s="718"/>
      <c r="U24" s="718"/>
      <c r="V24" s="642">
        <f t="shared" si="4"/>
        <v>2</v>
      </c>
    </row>
    <row r="25" spans="1:22" ht="15.75" thickBot="1" x14ac:dyDescent="0.3">
      <c r="A25" s="651">
        <v>44279</v>
      </c>
      <c r="B25" s="657" t="str">
        <f t="shared" si="0"/>
        <v>St</v>
      </c>
      <c r="C25" s="748">
        <f t="shared" si="1"/>
        <v>0.47916666666666663</v>
      </c>
      <c r="D25" s="837">
        <f t="shared" si="2"/>
        <v>92</v>
      </c>
      <c r="E25" s="724">
        <v>0.29166666666666669</v>
      </c>
      <c r="F25" s="726">
        <f t="shared" si="5"/>
        <v>2.0833333333333332E-2</v>
      </c>
      <c r="G25" s="727">
        <v>0.79166666666666663</v>
      </c>
      <c r="H25" s="654" t="s">
        <v>325</v>
      </c>
      <c r="I25" s="657" t="s">
        <v>318</v>
      </c>
      <c r="J25" s="654" t="s">
        <v>139</v>
      </c>
      <c r="K25" s="657" t="s">
        <v>326</v>
      </c>
      <c r="L25" s="654" t="s">
        <v>300</v>
      </c>
      <c r="M25" s="657" t="s">
        <v>16</v>
      </c>
      <c r="N25" s="714">
        <v>8</v>
      </c>
      <c r="O25" s="711" t="s">
        <v>366</v>
      </c>
      <c r="P25" s="646"/>
      <c r="Q25" s="718"/>
      <c r="R25" s="718"/>
      <c r="S25" s="718"/>
      <c r="T25" s="718"/>
      <c r="U25" s="718"/>
      <c r="V25" s="642">
        <f t="shared" si="4"/>
        <v>3</v>
      </c>
    </row>
    <row r="26" spans="1:22" ht="15.75" thickBot="1" x14ac:dyDescent="0.3">
      <c r="A26" s="651">
        <v>44280</v>
      </c>
      <c r="B26" s="657" t="str">
        <f t="shared" si="0"/>
        <v>Čt</v>
      </c>
      <c r="C26" s="748">
        <f t="shared" si="1"/>
        <v>0.47916666666666663</v>
      </c>
      <c r="D26" s="837">
        <f t="shared" si="2"/>
        <v>92</v>
      </c>
      <c r="E26" s="724">
        <v>0.29166666666666669</v>
      </c>
      <c r="F26" s="726">
        <f t="shared" si="5"/>
        <v>2.0833333333333332E-2</v>
      </c>
      <c r="G26" s="727">
        <v>0.79166666666666663</v>
      </c>
      <c r="H26" s="654" t="s">
        <v>325</v>
      </c>
      <c r="I26" s="657" t="s">
        <v>318</v>
      </c>
      <c r="J26" s="654" t="s">
        <v>139</v>
      </c>
      <c r="K26" s="657" t="s">
        <v>326</v>
      </c>
      <c r="L26" s="654" t="s">
        <v>300</v>
      </c>
      <c r="M26" s="657" t="s">
        <v>16</v>
      </c>
      <c r="N26" s="714">
        <v>8</v>
      </c>
      <c r="O26" s="739">
        <v>72634</v>
      </c>
      <c r="P26" s="747">
        <f>O26-R6</f>
        <v>72634</v>
      </c>
      <c r="Q26" s="718"/>
      <c r="R26" s="718"/>
      <c r="S26" s="718"/>
      <c r="T26" s="718"/>
      <c r="U26" s="718"/>
      <c r="V26" s="642">
        <f t="shared" si="4"/>
        <v>4</v>
      </c>
    </row>
    <row r="27" spans="1:22" ht="15.75" thickBot="1" x14ac:dyDescent="0.3">
      <c r="A27" s="651">
        <v>44281</v>
      </c>
      <c r="B27" s="657" t="str">
        <f t="shared" si="0"/>
        <v>Pá</v>
      </c>
      <c r="C27" s="748">
        <f t="shared" si="1"/>
        <v>0.47916666666666663</v>
      </c>
      <c r="D27" s="837">
        <f t="shared" si="2"/>
        <v>92</v>
      </c>
      <c r="E27" s="724">
        <v>0.29166666666666669</v>
      </c>
      <c r="F27" s="726">
        <f t="shared" si="5"/>
        <v>2.0833333333333332E-2</v>
      </c>
      <c r="G27" s="727">
        <v>0.79166666666666663</v>
      </c>
      <c r="H27" s="654" t="s">
        <v>325</v>
      </c>
      <c r="I27" s="657" t="s">
        <v>318</v>
      </c>
      <c r="J27" s="654" t="s">
        <v>139</v>
      </c>
      <c r="K27" s="657" t="s">
        <v>326</v>
      </c>
      <c r="L27" s="654" t="s">
        <v>300</v>
      </c>
      <c r="M27" s="657" t="s">
        <v>16</v>
      </c>
      <c r="N27" s="714">
        <v>8</v>
      </c>
      <c r="O27" s="711" t="s">
        <v>368</v>
      </c>
      <c r="P27" s="646"/>
      <c r="Q27" s="718"/>
      <c r="R27" s="718"/>
      <c r="S27" s="718"/>
      <c r="T27" s="718"/>
      <c r="U27" s="718"/>
      <c r="V27" s="642">
        <f t="shared" si="4"/>
        <v>5</v>
      </c>
    </row>
    <row r="28" spans="1:22" ht="15.75" thickBot="1" x14ac:dyDescent="0.3">
      <c r="A28" s="651">
        <v>44282</v>
      </c>
      <c r="B28" s="657" t="str">
        <f t="shared" si="0"/>
        <v>So</v>
      </c>
      <c r="C28" s="748">
        <f t="shared" si="1"/>
        <v>0.33333333333333337</v>
      </c>
      <c r="D28" s="837">
        <f t="shared" si="2"/>
        <v>56</v>
      </c>
      <c r="E28" s="724">
        <v>0.29166666666666669</v>
      </c>
      <c r="F28" s="726">
        <f t="shared" si="5"/>
        <v>2.0833333333333332E-2</v>
      </c>
      <c r="G28" s="727">
        <v>0.64583333333333337</v>
      </c>
      <c r="H28" s="654" t="s">
        <v>325</v>
      </c>
      <c r="I28" s="657" t="s">
        <v>318</v>
      </c>
      <c r="J28" s="654" t="s">
        <v>139</v>
      </c>
      <c r="K28" s="657" t="s">
        <v>326</v>
      </c>
      <c r="L28" s="654" t="s">
        <v>300</v>
      </c>
      <c r="M28" s="657" t="s">
        <v>16</v>
      </c>
      <c r="N28" s="714">
        <v>7</v>
      </c>
      <c r="O28" s="738">
        <f>'02hod21'!N26</f>
        <v>48649</v>
      </c>
      <c r="P28" s="646"/>
      <c r="Q28" s="718"/>
      <c r="R28" s="718"/>
      <c r="S28" s="718"/>
      <c r="T28" s="718"/>
      <c r="U28" s="718"/>
      <c r="V28" s="642">
        <f t="shared" si="4"/>
        <v>6</v>
      </c>
    </row>
    <row r="29" spans="1:22" ht="15.75" thickBot="1" x14ac:dyDescent="0.3">
      <c r="A29" s="651">
        <v>44283</v>
      </c>
      <c r="B29" s="657" t="str">
        <f t="shared" si="0"/>
        <v>Ne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 t="s">
        <v>325</v>
      </c>
      <c r="I29" s="657" t="s">
        <v>318</v>
      </c>
      <c r="J29" s="654" t="s">
        <v>139</v>
      </c>
      <c r="K29" s="657" t="s">
        <v>326</v>
      </c>
      <c r="L29" s="654" t="s">
        <v>300</v>
      </c>
      <c r="M29" s="657" t="s">
        <v>16</v>
      </c>
      <c r="N29" s="714">
        <v>0</v>
      </c>
      <c r="O29" s="712" t="s">
        <v>230</v>
      </c>
      <c r="P29" s="648"/>
      <c r="Q29" s="718"/>
      <c r="R29" s="718"/>
      <c r="S29" s="718"/>
      <c r="T29" s="718"/>
      <c r="U29" s="718"/>
      <c r="V29" s="642">
        <f t="shared" si="4"/>
        <v>7</v>
      </c>
    </row>
    <row r="30" spans="1:22" ht="15.75" thickBot="1" x14ac:dyDescent="0.3">
      <c r="A30" s="651">
        <v>44284</v>
      </c>
      <c r="B30" s="657" t="str">
        <f t="shared" si="0"/>
        <v>Po</v>
      </c>
      <c r="C30" s="748">
        <f t="shared" si="1"/>
        <v>0.47916666666666663</v>
      </c>
      <c r="D30" s="837">
        <f t="shared" si="2"/>
        <v>80.5</v>
      </c>
      <c r="E30" s="724">
        <v>0.29166666666666669</v>
      </c>
      <c r="F30" s="726">
        <f t="shared" si="5"/>
        <v>2.0833333333333332E-2</v>
      </c>
      <c r="G30" s="727">
        <v>0.79166666666666663</v>
      </c>
      <c r="H30" s="654" t="s">
        <v>325</v>
      </c>
      <c r="I30" s="657" t="s">
        <v>318</v>
      </c>
      <c r="J30" s="654" t="s">
        <v>139</v>
      </c>
      <c r="K30" s="657" t="s">
        <v>326</v>
      </c>
      <c r="L30" s="654" t="s">
        <v>300</v>
      </c>
      <c r="M30" s="657" t="s">
        <v>16</v>
      </c>
      <c r="N30" s="708">
        <v>7</v>
      </c>
      <c r="O30" s="715"/>
      <c r="P30" s="720"/>
      <c r="Q30" s="718"/>
      <c r="R30" s="718"/>
      <c r="S30" s="718"/>
      <c r="T30" s="718"/>
      <c r="U30" s="718"/>
      <c r="V30" s="642">
        <f t="shared" si="4"/>
        <v>1</v>
      </c>
    </row>
    <row r="31" spans="1:22" ht="15.75" thickBot="1" x14ac:dyDescent="0.3">
      <c r="A31" s="651">
        <v>44285</v>
      </c>
      <c r="B31" s="657" t="str">
        <f t="shared" si="0"/>
        <v>Út</v>
      </c>
      <c r="C31" s="748">
        <f t="shared" si="1"/>
        <v>0.47916666666666663</v>
      </c>
      <c r="D31" s="837">
        <f t="shared" si="2"/>
        <v>80.5</v>
      </c>
      <c r="E31" s="724">
        <v>0.29166666666666669</v>
      </c>
      <c r="F31" s="726">
        <f t="shared" si="5"/>
        <v>2.0833333333333332E-2</v>
      </c>
      <c r="G31" s="727">
        <v>0.79166666666666663</v>
      </c>
      <c r="H31" s="654" t="s">
        <v>325</v>
      </c>
      <c r="I31" s="657" t="s">
        <v>318</v>
      </c>
      <c r="J31" s="654" t="s">
        <v>139</v>
      </c>
      <c r="K31" s="657" t="s">
        <v>326</v>
      </c>
      <c r="L31" s="654" t="s">
        <v>300</v>
      </c>
      <c r="M31" s="657" t="s">
        <v>16</v>
      </c>
      <c r="N31" s="708">
        <v>7</v>
      </c>
      <c r="O31" s="649"/>
      <c r="P31" s="646"/>
      <c r="Q31" s="718"/>
      <c r="R31" s="718"/>
      <c r="S31" s="718"/>
      <c r="T31" s="718"/>
      <c r="U31" s="718"/>
      <c r="V31" s="642">
        <f t="shared" si="4"/>
        <v>2</v>
      </c>
    </row>
    <row r="32" spans="1:22" ht="15.75" thickBot="1" x14ac:dyDescent="0.3">
      <c r="A32" s="651">
        <v>44286</v>
      </c>
      <c r="B32" s="657" t="str">
        <f t="shared" si="0"/>
        <v>St</v>
      </c>
      <c r="C32" s="748">
        <f t="shared" si="1"/>
        <v>0.47916666666666663</v>
      </c>
      <c r="D32" s="837">
        <f t="shared" si="2"/>
        <v>80.5</v>
      </c>
      <c r="E32" s="724">
        <v>0.29166666666666669</v>
      </c>
      <c r="F32" s="726">
        <f t="shared" si="5"/>
        <v>2.0833333333333332E-2</v>
      </c>
      <c r="G32" s="727">
        <v>0.79166666666666663</v>
      </c>
      <c r="H32" s="654" t="s">
        <v>325</v>
      </c>
      <c r="I32" s="657" t="s">
        <v>318</v>
      </c>
      <c r="J32" s="654" t="s">
        <v>139</v>
      </c>
      <c r="K32" s="657" t="s">
        <v>326</v>
      </c>
      <c r="L32" s="654" t="s">
        <v>300</v>
      </c>
      <c r="M32" s="657" t="s">
        <v>16</v>
      </c>
      <c r="N32" s="708">
        <v>7</v>
      </c>
      <c r="O32" s="649"/>
      <c r="P32" s="646"/>
      <c r="Q32" s="718"/>
      <c r="R32" s="718"/>
      <c r="S32" s="718"/>
      <c r="T32" s="718"/>
      <c r="U32" s="718"/>
      <c r="V32" s="642">
        <f t="shared" si="4"/>
        <v>3</v>
      </c>
    </row>
    <row r="33" spans="1:22" ht="15.75" thickBot="1" x14ac:dyDescent="0.3">
      <c r="A33" s="651">
        <v>44287</v>
      </c>
      <c r="B33" s="657" t="str">
        <f t="shared" si="0"/>
        <v>Čt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 t="s">
        <v>325</v>
      </c>
      <c r="I33" s="657" t="s">
        <v>318</v>
      </c>
      <c r="J33" s="654" t="s">
        <v>139</v>
      </c>
      <c r="K33" s="657" t="s">
        <v>326</v>
      </c>
      <c r="L33" s="654" t="s">
        <v>300</v>
      </c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4</v>
      </c>
    </row>
    <row r="34" spans="1:22" ht="15.75" thickBot="1" x14ac:dyDescent="0.3">
      <c r="A34" s="651">
        <v>44288</v>
      </c>
      <c r="B34" s="657" t="str">
        <f t="shared" si="0"/>
        <v>Pá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 t="s">
        <v>325</v>
      </c>
      <c r="I34" s="657" t="s">
        <v>318</v>
      </c>
      <c r="J34" s="654" t="s">
        <v>139</v>
      </c>
      <c r="K34" s="657" t="s">
        <v>326</v>
      </c>
      <c r="L34" s="654" t="s">
        <v>300</v>
      </c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6">WEEKDAY(A34,2)</f>
        <v>5</v>
      </c>
    </row>
    <row r="35" spans="1:22" ht="15.75" thickBot="1" x14ac:dyDescent="0.3">
      <c r="A35" s="651">
        <v>44289</v>
      </c>
      <c r="B35" s="658" t="str">
        <f t="shared" si="0"/>
        <v>So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4" t="s">
        <v>325</v>
      </c>
      <c r="I35" s="657" t="s">
        <v>318</v>
      </c>
      <c r="J35" s="654" t="s">
        <v>139</v>
      </c>
      <c r="K35" s="657" t="s">
        <v>326</v>
      </c>
      <c r="L35" s="654" t="s">
        <v>300</v>
      </c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6"/>
        <v>6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9.2916666666666661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honeticPr fontId="30" alignment="center"/>
  <pageMargins left="0.7" right="0.7" top="0.75" bottom="0.75" header="0.3" footer="0.3"/>
  <drawing r:id="rId1"/>
  <tableParts count="1">
    <tablePart r:id="rId2"/>
  </tableParts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450F49-21F8-4048-8D99-08ED34097DC2}">
  <dimension ref="A1:V45"/>
  <sheetViews>
    <sheetView topLeftCell="M4" zoomScaleNormal="60" zoomScaleSheetLayoutView="100" workbookViewId="0">
      <selection activeCell="O28" sqref="O28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0" bestFit="1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8554687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44287</v>
      </c>
      <c r="B2" s="656" t="str">
        <f t="shared" ref="B2:B35" si="0">CHOOSE(WEEKDAY(V2),"Po","Út","St","Čt","Pá","So","Ne")</f>
        <v>Čt</v>
      </c>
      <c r="C2" s="748">
        <f t="shared" ref="C2:C35" si="1">G2-E2-F2</f>
        <v>0.47916666666666663</v>
      </c>
      <c r="D2" s="836">
        <f t="shared" ref="D2:D35" si="2">(N2*C2)*24</f>
        <v>80.5</v>
      </c>
      <c r="E2" s="723">
        <v>0.29166666666666669</v>
      </c>
      <c r="F2" s="726">
        <f t="shared" ref="F2" si="3">TIME(0,30,0)</f>
        <v>2.0833333333333332E-2</v>
      </c>
      <c r="G2" s="726">
        <v>0.79166666666666663</v>
      </c>
      <c r="H2" s="654" t="s">
        <v>325</v>
      </c>
      <c r="I2" s="657" t="s">
        <v>318</v>
      </c>
      <c r="J2" s="653" t="s">
        <v>139</v>
      </c>
      <c r="K2" s="656" t="s">
        <v>326</v>
      </c>
      <c r="L2" s="653" t="s">
        <v>300</v>
      </c>
      <c r="M2" s="656" t="s">
        <v>16</v>
      </c>
      <c r="N2" s="713">
        <v>7</v>
      </c>
      <c r="O2" s="902">
        <f>(O4+O6)</f>
        <v>137</v>
      </c>
      <c r="P2" s="716">
        <f t="shared" ref="P2" si="4">P4+P6</f>
        <v>137</v>
      </c>
      <c r="Q2" s="853">
        <v>56494</v>
      </c>
      <c r="R2" s="644" t="s">
        <v>17</v>
      </c>
      <c r="S2" s="644" t="s">
        <v>313</v>
      </c>
      <c r="T2" s="875">
        <v>44301</v>
      </c>
      <c r="U2" s="722">
        <f>T7*20</f>
        <v>0</v>
      </c>
      <c r="V2" s="642">
        <f t="shared" ref="V2:V32" si="5">WEEKDAY(A2,2)</f>
        <v>4</v>
      </c>
    </row>
    <row r="3" spans="1:22" ht="15.75" thickBot="1" x14ac:dyDescent="0.3">
      <c r="A3" s="651">
        <v>44288</v>
      </c>
      <c r="B3" s="657" t="str">
        <f t="shared" si="0"/>
        <v>Pá</v>
      </c>
      <c r="C3" s="748">
        <f t="shared" si="1"/>
        <v>0.47916666666666663</v>
      </c>
      <c r="D3" s="837">
        <f t="shared" si="2"/>
        <v>92</v>
      </c>
      <c r="E3" s="724">
        <v>0.29166666666666669</v>
      </c>
      <c r="F3" s="726">
        <f>TIME(0,30,0)</f>
        <v>2.0833333333333332E-2</v>
      </c>
      <c r="G3" s="727">
        <v>0.79166666666666663</v>
      </c>
      <c r="H3" s="654" t="s">
        <v>325</v>
      </c>
      <c r="I3" s="657" t="s">
        <v>318</v>
      </c>
      <c r="J3" s="654" t="s">
        <v>139</v>
      </c>
      <c r="K3" s="657" t="s">
        <v>326</v>
      </c>
      <c r="L3" s="654" t="s">
        <v>300</v>
      </c>
      <c r="M3" s="657" t="s">
        <v>16</v>
      </c>
      <c r="N3" s="714">
        <v>8</v>
      </c>
      <c r="O3" s="711" t="s">
        <v>19</v>
      </c>
      <c r="P3" s="717" t="s">
        <v>19</v>
      </c>
      <c r="Q3" s="711">
        <v>0</v>
      </c>
      <c r="R3" s="611"/>
      <c r="S3" s="611"/>
      <c r="T3" s="646"/>
      <c r="U3" s="718"/>
      <c r="V3" s="642">
        <f t="shared" si="5"/>
        <v>5</v>
      </c>
    </row>
    <row r="4" spans="1:22" ht="15.75" thickBot="1" x14ac:dyDescent="0.3">
      <c r="A4" s="651">
        <v>44289</v>
      </c>
      <c r="B4" s="657" t="str">
        <f t="shared" si="0"/>
        <v>So</v>
      </c>
      <c r="C4" s="748">
        <f t="shared" si="1"/>
        <v>0.33333333333333337</v>
      </c>
      <c r="D4" s="837">
        <f t="shared" si="2"/>
        <v>40.000000000000007</v>
      </c>
      <c r="E4" s="724">
        <v>0.29166666666666669</v>
      </c>
      <c r="F4" s="726">
        <f>TIME(0,30,0)</f>
        <v>2.0833333333333332E-2</v>
      </c>
      <c r="G4" s="727">
        <v>0.64583333333333337</v>
      </c>
      <c r="H4" s="654" t="s">
        <v>325</v>
      </c>
      <c r="I4" s="657" t="s">
        <v>318</v>
      </c>
      <c r="J4" s="654" t="s">
        <v>139</v>
      </c>
      <c r="K4" s="657" t="s">
        <v>326</v>
      </c>
      <c r="L4" s="654" t="s">
        <v>300</v>
      </c>
      <c r="M4" s="657" t="s">
        <v>16</v>
      </c>
      <c r="N4" s="714">
        <v>5</v>
      </c>
      <c r="O4" s="903">
        <f>O40*24</f>
        <v>137</v>
      </c>
      <c r="P4" s="717">
        <v>137</v>
      </c>
      <c r="Q4" s="711">
        <v>0</v>
      </c>
      <c r="R4" s="611"/>
      <c r="S4" s="611"/>
      <c r="T4" s="646"/>
      <c r="U4" s="718"/>
      <c r="V4" s="642">
        <f t="shared" si="5"/>
        <v>6</v>
      </c>
    </row>
    <row r="5" spans="1:22" ht="15.75" thickBot="1" x14ac:dyDescent="0.3">
      <c r="A5" s="651">
        <v>44290</v>
      </c>
      <c r="B5" s="657" t="str">
        <f t="shared" si="0"/>
        <v>Ne</v>
      </c>
      <c r="C5" s="748">
        <f t="shared" si="1"/>
        <v>0</v>
      </c>
      <c r="D5" s="837">
        <f t="shared" si="2"/>
        <v>0</v>
      </c>
      <c r="E5" s="724"/>
      <c r="F5" s="726"/>
      <c r="G5" s="727"/>
      <c r="H5" s="654" t="s">
        <v>325</v>
      </c>
      <c r="I5" s="657" t="s">
        <v>318</v>
      </c>
      <c r="J5" s="654" t="s">
        <v>139</v>
      </c>
      <c r="K5" s="657" t="s">
        <v>326</v>
      </c>
      <c r="L5" s="654" t="s">
        <v>300</v>
      </c>
      <c r="M5" s="657" t="s">
        <v>16</v>
      </c>
      <c r="N5" s="714">
        <v>0</v>
      </c>
      <c r="O5" s="711" t="s">
        <v>14</v>
      </c>
      <c r="P5" s="717" t="s">
        <v>14</v>
      </c>
      <c r="Q5" s="711">
        <v>19310</v>
      </c>
      <c r="R5" s="611" t="s">
        <v>17</v>
      </c>
      <c r="S5" s="611" t="s">
        <v>328</v>
      </c>
      <c r="T5" s="874">
        <v>44333</v>
      </c>
      <c r="U5" s="718"/>
      <c r="V5" s="642">
        <f t="shared" si="5"/>
        <v>7</v>
      </c>
    </row>
    <row r="6" spans="1:22" ht="15.75" thickBot="1" x14ac:dyDescent="0.3">
      <c r="A6" s="651">
        <v>44291</v>
      </c>
      <c r="B6" s="657" t="str">
        <f t="shared" si="0"/>
        <v>Po</v>
      </c>
      <c r="C6" s="748">
        <f t="shared" si="1"/>
        <v>0</v>
      </c>
      <c r="D6" s="837">
        <f t="shared" si="2"/>
        <v>0</v>
      </c>
      <c r="E6" s="724"/>
      <c r="F6" s="726"/>
      <c r="G6" s="727"/>
      <c r="H6" s="654" t="s">
        <v>325</v>
      </c>
      <c r="I6" s="657" t="s">
        <v>318</v>
      </c>
      <c r="J6" s="654" t="s">
        <v>139</v>
      </c>
      <c r="K6" s="657" t="s">
        <v>326</v>
      </c>
      <c r="L6" s="654" t="s">
        <v>300</v>
      </c>
      <c r="M6" s="657" t="s">
        <v>16</v>
      </c>
      <c r="N6" s="714">
        <v>0</v>
      </c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5"/>
        <v>1</v>
      </c>
    </row>
    <row r="7" spans="1:22" ht="15.75" thickBot="1" x14ac:dyDescent="0.3">
      <c r="A7" s="651">
        <v>44292</v>
      </c>
      <c r="B7" s="657" t="str">
        <f t="shared" si="0"/>
        <v>Út</v>
      </c>
      <c r="C7" s="748">
        <f t="shared" si="1"/>
        <v>0.47916666666666663</v>
      </c>
      <c r="D7" s="837">
        <f t="shared" si="2"/>
        <v>92</v>
      </c>
      <c r="E7" s="724">
        <v>0.29166666666666669</v>
      </c>
      <c r="F7" s="726">
        <f>TIME(0,30,0)</f>
        <v>2.0833333333333332E-2</v>
      </c>
      <c r="G7" s="727">
        <v>0.79166666666666663</v>
      </c>
      <c r="H7" s="654" t="s">
        <v>325</v>
      </c>
      <c r="I7" s="657" t="s">
        <v>318</v>
      </c>
      <c r="J7" s="654" t="s">
        <v>139</v>
      </c>
      <c r="K7" s="657" t="s">
        <v>326</v>
      </c>
      <c r="L7" s="654" t="s">
        <v>300</v>
      </c>
      <c r="M7" s="657" t="s">
        <v>16</v>
      </c>
      <c r="N7" s="714">
        <v>8</v>
      </c>
      <c r="O7" s="711" t="s">
        <v>20</v>
      </c>
      <c r="P7" s="646" t="s">
        <v>20</v>
      </c>
      <c r="Q7" s="721">
        <f>Q3+Q4</f>
        <v>0</v>
      </c>
      <c r="R7" s="718"/>
      <c r="S7" s="718"/>
      <c r="T7" s="718"/>
      <c r="U7" s="718"/>
      <c r="V7" s="642">
        <f t="shared" si="5"/>
        <v>2</v>
      </c>
    </row>
    <row r="8" spans="1:22" ht="15.75" thickBot="1" x14ac:dyDescent="0.3">
      <c r="A8" s="651">
        <v>44293</v>
      </c>
      <c r="B8" s="657" t="str">
        <f t="shared" si="0"/>
        <v>St</v>
      </c>
      <c r="C8" s="748">
        <f t="shared" si="1"/>
        <v>0.4375</v>
      </c>
      <c r="D8" s="837">
        <f t="shared" si="2"/>
        <v>84</v>
      </c>
      <c r="E8" s="724">
        <v>0.29166666666666669</v>
      </c>
      <c r="F8" s="726">
        <f>TIME(0,30,0)</f>
        <v>2.0833333333333332E-2</v>
      </c>
      <c r="G8" s="727">
        <v>0.75</v>
      </c>
      <c r="H8" s="654" t="s">
        <v>325</v>
      </c>
      <c r="I8" s="657" t="s">
        <v>318</v>
      </c>
      <c r="J8" s="654" t="s">
        <v>139</v>
      </c>
      <c r="K8" s="657" t="s">
        <v>326</v>
      </c>
      <c r="L8" s="654" t="s">
        <v>300</v>
      </c>
      <c r="M8" s="657" t="s">
        <v>16</v>
      </c>
      <c r="N8" s="714">
        <v>8</v>
      </c>
      <c r="O8" s="711" t="s">
        <v>22</v>
      </c>
      <c r="P8" s="646" t="s">
        <v>22</v>
      </c>
      <c r="Q8" s="657" t="s">
        <v>360</v>
      </c>
      <c r="R8" s="718"/>
      <c r="S8" s="718"/>
      <c r="T8" s="718"/>
      <c r="U8" s="718"/>
      <c r="V8" s="642">
        <f t="shared" si="5"/>
        <v>3</v>
      </c>
    </row>
    <row r="9" spans="1:22" ht="15.75" thickBot="1" x14ac:dyDescent="0.3">
      <c r="A9" s="651">
        <v>44294</v>
      </c>
      <c r="B9" s="657" t="str">
        <f t="shared" si="0"/>
        <v>Čt</v>
      </c>
      <c r="C9" s="748">
        <f t="shared" si="1"/>
        <v>0.47916666666666663</v>
      </c>
      <c r="D9" s="837">
        <f t="shared" si="2"/>
        <v>92</v>
      </c>
      <c r="E9" s="724">
        <v>0.29166666666666669</v>
      </c>
      <c r="F9" s="726">
        <f>TIME(0,30,0)</f>
        <v>2.0833333333333332E-2</v>
      </c>
      <c r="G9" s="727">
        <v>0.79166666666666663</v>
      </c>
      <c r="H9" s="654" t="s">
        <v>325</v>
      </c>
      <c r="I9" s="657" t="s">
        <v>318</v>
      </c>
      <c r="J9" s="654" t="s">
        <v>139</v>
      </c>
      <c r="K9" s="657" t="s">
        <v>326</v>
      </c>
      <c r="L9" s="654" t="s">
        <v>300</v>
      </c>
      <c r="M9" s="657" t="s">
        <v>16</v>
      </c>
      <c r="N9" s="714">
        <v>8</v>
      </c>
      <c r="O9" s="711" t="s">
        <v>23</v>
      </c>
      <c r="P9" s="646" t="s">
        <v>23</v>
      </c>
      <c r="Q9" s="851">
        <f>SUM(Q2:Q4)</f>
        <v>56494</v>
      </c>
      <c r="R9" s="718"/>
      <c r="S9" s="718"/>
      <c r="T9" s="718"/>
      <c r="U9" s="718"/>
      <c r="V9" s="642">
        <f t="shared" si="5"/>
        <v>4</v>
      </c>
    </row>
    <row r="10" spans="1:22" ht="15.75" thickBot="1" x14ac:dyDescent="0.3">
      <c r="A10" s="651">
        <v>44295</v>
      </c>
      <c r="B10" s="657" t="str">
        <f t="shared" si="0"/>
        <v>Pá</v>
      </c>
      <c r="C10" s="748">
        <f t="shared" si="1"/>
        <v>0.47916666666666663</v>
      </c>
      <c r="D10" s="837">
        <f t="shared" si="2"/>
        <v>92</v>
      </c>
      <c r="E10" s="724">
        <v>0.29166666666666669</v>
      </c>
      <c r="F10" s="726">
        <f>TIME(0,30,0)</f>
        <v>2.0833333333333332E-2</v>
      </c>
      <c r="G10" s="727">
        <v>0.79166666666666663</v>
      </c>
      <c r="H10" s="654" t="s">
        <v>325</v>
      </c>
      <c r="I10" s="657" t="s">
        <v>318</v>
      </c>
      <c r="J10" s="654" t="s">
        <v>139</v>
      </c>
      <c r="K10" s="657" t="s">
        <v>326</v>
      </c>
      <c r="L10" s="654" t="s">
        <v>300</v>
      </c>
      <c r="M10" s="657" t="s">
        <v>16</v>
      </c>
      <c r="N10" s="714">
        <v>8</v>
      </c>
      <c r="O10" s="738">
        <f>(O2*380)+U2</f>
        <v>52060</v>
      </c>
      <c r="P10" s="747">
        <f>SUM(P2*380)</f>
        <v>52060</v>
      </c>
      <c r="Q10" s="719"/>
      <c r="R10" s="718"/>
      <c r="S10" s="718"/>
      <c r="T10" s="718"/>
      <c r="U10" s="718"/>
      <c r="V10" s="642">
        <f t="shared" si="5"/>
        <v>5</v>
      </c>
    </row>
    <row r="11" spans="1:22" ht="15.75" thickBot="1" x14ac:dyDescent="0.3">
      <c r="A11" s="651">
        <v>44296</v>
      </c>
      <c r="B11" s="657" t="str">
        <f t="shared" si="0"/>
        <v>So</v>
      </c>
      <c r="C11" s="748">
        <f t="shared" si="1"/>
        <v>0.33333333333333337</v>
      </c>
      <c r="D11" s="837">
        <f t="shared" si="2"/>
        <v>64</v>
      </c>
      <c r="E11" s="724">
        <v>0.29166666666666669</v>
      </c>
      <c r="F11" s="726">
        <f>TIME(0,30,0)</f>
        <v>2.0833333333333332E-2</v>
      </c>
      <c r="G11" s="727">
        <v>0.64583333333333337</v>
      </c>
      <c r="H11" s="654" t="s">
        <v>325</v>
      </c>
      <c r="I11" s="657" t="s">
        <v>318</v>
      </c>
      <c r="J11" s="654" t="s">
        <v>139</v>
      </c>
      <c r="K11" s="657" t="s">
        <v>326</v>
      </c>
      <c r="L11" s="654" t="s">
        <v>300</v>
      </c>
      <c r="M11" s="657" t="s">
        <v>16</v>
      </c>
      <c r="N11" s="714">
        <v>8</v>
      </c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5"/>
        <v>6</v>
      </c>
    </row>
    <row r="12" spans="1:22" ht="15.75" thickBot="1" x14ac:dyDescent="0.3">
      <c r="A12" s="651">
        <v>44297</v>
      </c>
      <c r="B12" s="657" t="str">
        <f t="shared" si="0"/>
        <v>Ne</v>
      </c>
      <c r="C12" s="748">
        <f t="shared" si="1"/>
        <v>0</v>
      </c>
      <c r="D12" s="837">
        <f t="shared" si="2"/>
        <v>0</v>
      </c>
      <c r="E12" s="724"/>
      <c r="F12" s="726"/>
      <c r="G12" s="727"/>
      <c r="H12" s="654" t="s">
        <v>325</v>
      </c>
      <c r="I12" s="657" t="s">
        <v>318</v>
      </c>
      <c r="J12" s="654" t="s">
        <v>139</v>
      </c>
      <c r="K12" s="657" t="s">
        <v>326</v>
      </c>
      <c r="L12" s="654" t="s">
        <v>300</v>
      </c>
      <c r="M12" s="657" t="s">
        <v>16</v>
      </c>
      <c r="N12" s="714">
        <v>0</v>
      </c>
      <c r="O12" s="738">
        <f>(O10+O20+O18-O22)-O14-P24</f>
        <v>24184.52</v>
      </c>
      <c r="P12" s="747">
        <f>(P10+P18+P20-P22)-P14-P24</f>
        <v>24184.52</v>
      </c>
      <c r="Q12" s="718"/>
      <c r="R12" s="718"/>
      <c r="S12" s="718"/>
      <c r="T12" s="718"/>
      <c r="U12" s="718"/>
      <c r="V12" s="642">
        <f t="shared" si="5"/>
        <v>7</v>
      </c>
    </row>
    <row r="13" spans="1:22" ht="15.75" thickBot="1" x14ac:dyDescent="0.3">
      <c r="A13" s="651">
        <v>44298</v>
      </c>
      <c r="B13" s="657" t="str">
        <f t="shared" si="0"/>
        <v>Po</v>
      </c>
      <c r="C13" s="748">
        <f t="shared" si="1"/>
        <v>0.47916666666666663</v>
      </c>
      <c r="D13" s="837">
        <f t="shared" si="2"/>
        <v>92</v>
      </c>
      <c r="E13" s="724">
        <v>0.29166666666666669</v>
      </c>
      <c r="F13" s="726">
        <f>TIME(0,30,0)</f>
        <v>2.0833333333333332E-2</v>
      </c>
      <c r="G13" s="727">
        <v>0.79166666666666663</v>
      </c>
      <c r="H13" s="654" t="s">
        <v>325</v>
      </c>
      <c r="I13" s="657" t="s">
        <v>318</v>
      </c>
      <c r="J13" s="654" t="s">
        <v>139</v>
      </c>
      <c r="K13" s="657" t="s">
        <v>326</v>
      </c>
      <c r="L13" s="654" t="s">
        <v>300</v>
      </c>
      <c r="M13" s="657" t="s">
        <v>16</v>
      </c>
      <c r="N13" s="714">
        <v>8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5"/>
        <v>1</v>
      </c>
    </row>
    <row r="14" spans="1:22" ht="15.75" thickBot="1" x14ac:dyDescent="0.3">
      <c r="A14" s="651">
        <v>44299</v>
      </c>
      <c r="B14" s="657" t="str">
        <f t="shared" si="0"/>
        <v>Út</v>
      </c>
      <c r="C14" s="748">
        <f t="shared" si="1"/>
        <v>0.47916666666666663</v>
      </c>
      <c r="D14" s="837">
        <f t="shared" si="2"/>
        <v>92</v>
      </c>
      <c r="E14" s="724">
        <v>0.29166666666666669</v>
      </c>
      <c r="F14" s="726">
        <f>TIME(0,30,0)</f>
        <v>2.0833333333333332E-2</v>
      </c>
      <c r="G14" s="727">
        <v>0.79166666666666663</v>
      </c>
      <c r="H14" s="654" t="s">
        <v>325</v>
      </c>
      <c r="I14" s="657" t="s">
        <v>318</v>
      </c>
      <c r="J14" s="654" t="s">
        <v>139</v>
      </c>
      <c r="K14" s="657" t="s">
        <v>326</v>
      </c>
      <c r="L14" s="654" t="s">
        <v>300</v>
      </c>
      <c r="M14" s="657" t="s">
        <v>16</v>
      </c>
      <c r="N14" s="714">
        <v>8</v>
      </c>
      <c r="O14" s="738">
        <f>(O16*25.88)</f>
        <v>23188.48</v>
      </c>
      <c r="P14" s="747">
        <f>(P16*25.88)</f>
        <v>23188.48</v>
      </c>
      <c r="Q14" s="923" t="s">
        <v>458</v>
      </c>
      <c r="R14" s="1004">
        <f>P14+P22-P18</f>
        <v>22895.48</v>
      </c>
      <c r="S14" s="1007"/>
      <c r="T14" s="923" t="s">
        <v>456</v>
      </c>
      <c r="U14" s="1004">
        <f>P14+P22</f>
        <v>23188.48</v>
      </c>
      <c r="V14" s="642">
        <f t="shared" si="5"/>
        <v>2</v>
      </c>
    </row>
    <row r="15" spans="1:22" ht="15.75" thickBot="1" x14ac:dyDescent="0.3">
      <c r="A15" s="651">
        <v>44300</v>
      </c>
      <c r="B15" s="657" t="str">
        <f t="shared" si="0"/>
        <v>St</v>
      </c>
      <c r="C15" s="748">
        <f t="shared" si="1"/>
        <v>0.54166666666666663</v>
      </c>
      <c r="D15" s="837">
        <f t="shared" si="2"/>
        <v>104</v>
      </c>
      <c r="E15" s="724">
        <v>0.29166666666666669</v>
      </c>
      <c r="F15" s="726">
        <f>TIME(0,30,0)</f>
        <v>2.0833333333333332E-2</v>
      </c>
      <c r="G15" s="727">
        <v>0.85416666666666663</v>
      </c>
      <c r="H15" s="654" t="s">
        <v>325</v>
      </c>
      <c r="I15" s="657" t="s">
        <v>318</v>
      </c>
      <c r="J15" s="654" t="s">
        <v>139</v>
      </c>
      <c r="K15" s="657" t="s">
        <v>326</v>
      </c>
      <c r="L15" s="654" t="s">
        <v>300</v>
      </c>
      <c r="M15" s="657" t="s">
        <v>16</v>
      </c>
      <c r="N15" s="714">
        <v>8</v>
      </c>
      <c r="O15" s="711" t="s">
        <v>29</v>
      </c>
      <c r="P15" s="646" t="s">
        <v>29</v>
      </c>
      <c r="Q15" s="1001" t="s">
        <v>459</v>
      </c>
      <c r="R15" s="1002">
        <f>P10</f>
        <v>52060</v>
      </c>
      <c r="S15" s="1008"/>
      <c r="T15" s="1001" t="s">
        <v>457</v>
      </c>
      <c r="U15" s="1002">
        <f>P10+P18+P20</f>
        <v>52353</v>
      </c>
      <c r="V15" s="642">
        <f t="shared" si="5"/>
        <v>3</v>
      </c>
    </row>
    <row r="16" spans="1:22" ht="15.75" thickBot="1" x14ac:dyDescent="0.3">
      <c r="A16" s="651">
        <v>44301</v>
      </c>
      <c r="B16" s="657" t="str">
        <f t="shared" si="0"/>
        <v>Čt</v>
      </c>
      <c r="C16" s="748">
        <f t="shared" si="1"/>
        <v>0.47916666666666663</v>
      </c>
      <c r="D16" s="837">
        <f t="shared" si="2"/>
        <v>92</v>
      </c>
      <c r="E16" s="724">
        <v>0.29166666666666669</v>
      </c>
      <c r="F16" s="726">
        <f>TIME(0,30,0)</f>
        <v>2.0833333333333332E-2</v>
      </c>
      <c r="G16" s="727">
        <v>0.79166666666666663</v>
      </c>
      <c r="H16" s="654" t="s">
        <v>325</v>
      </c>
      <c r="I16" s="657" t="s">
        <v>318</v>
      </c>
      <c r="J16" s="654" t="s">
        <v>139</v>
      </c>
      <c r="K16" s="657" t="s">
        <v>326</v>
      </c>
      <c r="L16" s="654" t="s">
        <v>300</v>
      </c>
      <c r="M16" s="657" t="s">
        <v>16</v>
      </c>
      <c r="N16" s="714">
        <v>8</v>
      </c>
      <c r="O16" s="893">
        <f>'02cash21'!O35-600</f>
        <v>896</v>
      </c>
      <c r="P16" s="894">
        <v>896</v>
      </c>
      <c r="Q16" s="1001"/>
      <c r="R16" s="1003">
        <f>R15-R14</f>
        <v>29164.52</v>
      </c>
      <c r="S16" s="1008"/>
      <c r="T16" s="1001"/>
      <c r="U16" s="1002">
        <f>U15-U14</f>
        <v>29164.52</v>
      </c>
      <c r="V16" s="642">
        <f t="shared" si="5"/>
        <v>4</v>
      </c>
    </row>
    <row r="17" spans="1:22" ht="15.75" thickBot="1" x14ac:dyDescent="0.3">
      <c r="A17" s="651">
        <v>44302</v>
      </c>
      <c r="B17" s="657" t="str">
        <f t="shared" si="0"/>
        <v>Pá</v>
      </c>
      <c r="C17" s="748">
        <f t="shared" si="1"/>
        <v>0.22916666666666669</v>
      </c>
      <c r="D17" s="837">
        <f t="shared" si="2"/>
        <v>0</v>
      </c>
      <c r="E17" s="724">
        <v>0.29166666666666669</v>
      </c>
      <c r="F17" s="726">
        <v>0</v>
      </c>
      <c r="G17" s="727">
        <v>0.52083333333333337</v>
      </c>
      <c r="H17" s="654" t="s">
        <v>325</v>
      </c>
      <c r="I17" s="657" t="s">
        <v>318</v>
      </c>
      <c r="J17" s="654" t="s">
        <v>139</v>
      </c>
      <c r="K17" s="657" t="s">
        <v>326</v>
      </c>
      <c r="L17" s="654" t="s">
        <v>300</v>
      </c>
      <c r="M17" s="657" t="s">
        <v>16</v>
      </c>
      <c r="N17" s="714">
        <v>0</v>
      </c>
      <c r="O17" s="711" t="s">
        <v>31</v>
      </c>
      <c r="P17" s="646" t="s">
        <v>31</v>
      </c>
      <c r="Q17" s="1002">
        <f>R16-Q5</f>
        <v>9854.52</v>
      </c>
      <c r="R17" s="1001"/>
      <c r="S17" s="1009"/>
      <c r="T17" s="1002">
        <f>U16-Q5</f>
        <v>9854.52</v>
      </c>
      <c r="U17" s="1001"/>
      <c r="V17" s="642">
        <f t="shared" si="5"/>
        <v>5</v>
      </c>
    </row>
    <row r="18" spans="1:22" ht="15.75" thickBot="1" x14ac:dyDescent="0.3">
      <c r="A18" s="651">
        <v>44303</v>
      </c>
      <c r="B18" s="657" t="str">
        <f t="shared" si="0"/>
        <v>So</v>
      </c>
      <c r="C18" s="748">
        <f t="shared" si="1"/>
        <v>0</v>
      </c>
      <c r="D18" s="837">
        <f t="shared" si="2"/>
        <v>0</v>
      </c>
      <c r="E18" s="724"/>
      <c r="F18" s="726"/>
      <c r="G18" s="727"/>
      <c r="H18" s="654" t="s">
        <v>325</v>
      </c>
      <c r="I18" s="657" t="s">
        <v>318</v>
      </c>
      <c r="J18" s="654" t="s">
        <v>139</v>
      </c>
      <c r="K18" s="657" t="s">
        <v>326</v>
      </c>
      <c r="L18" s="654" t="s">
        <v>300</v>
      </c>
      <c r="M18" s="657" t="s">
        <v>16</v>
      </c>
      <c r="N18" s="714">
        <v>0</v>
      </c>
      <c r="O18" s="738">
        <v>293</v>
      </c>
      <c r="P18" s="747">
        <v>293</v>
      </c>
      <c r="Q18" s="1001"/>
      <c r="R18" s="1001"/>
      <c r="S18" s="1008"/>
      <c r="T18" s="1001"/>
      <c r="U18" s="1001"/>
      <c r="V18" s="642">
        <f t="shared" si="5"/>
        <v>6</v>
      </c>
    </row>
    <row r="19" spans="1:22" ht="15.75" thickBot="1" x14ac:dyDescent="0.3">
      <c r="A19" s="651">
        <v>44304</v>
      </c>
      <c r="B19" s="657" t="str">
        <f t="shared" si="0"/>
        <v>Ne</v>
      </c>
      <c r="C19" s="748">
        <f t="shared" si="1"/>
        <v>0</v>
      </c>
      <c r="D19" s="837">
        <f t="shared" si="2"/>
        <v>0</v>
      </c>
      <c r="E19" s="724"/>
      <c r="F19" s="726"/>
      <c r="G19" s="727"/>
      <c r="H19" s="654" t="s">
        <v>325</v>
      </c>
      <c r="I19" s="657" t="s">
        <v>318</v>
      </c>
      <c r="J19" s="654" t="s">
        <v>139</v>
      </c>
      <c r="K19" s="657" t="s">
        <v>326</v>
      </c>
      <c r="L19" s="654" t="s">
        <v>300</v>
      </c>
      <c r="M19" s="657" t="s">
        <v>16</v>
      </c>
      <c r="N19" s="714">
        <v>0</v>
      </c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5"/>
        <v>7</v>
      </c>
    </row>
    <row r="20" spans="1:22" ht="15.75" thickBot="1" x14ac:dyDescent="0.3">
      <c r="A20" s="651">
        <v>44305</v>
      </c>
      <c r="B20" s="657" t="str">
        <f t="shared" si="0"/>
        <v>Po</v>
      </c>
      <c r="C20" s="748">
        <f t="shared" si="1"/>
        <v>0</v>
      </c>
      <c r="D20" s="837">
        <f t="shared" si="2"/>
        <v>0</v>
      </c>
      <c r="E20" s="724"/>
      <c r="F20" s="726"/>
      <c r="G20" s="727"/>
      <c r="H20" s="654" t="s">
        <v>325</v>
      </c>
      <c r="I20" s="657" t="s">
        <v>318</v>
      </c>
      <c r="J20" s="654" t="s">
        <v>139</v>
      </c>
      <c r="K20" s="657" t="s">
        <v>326</v>
      </c>
      <c r="L20" s="654" t="s">
        <v>300</v>
      </c>
      <c r="M20" s="657" t="s">
        <v>16</v>
      </c>
      <c r="N20" s="714">
        <v>0</v>
      </c>
      <c r="O20" s="738">
        <v>0</v>
      </c>
      <c r="P20" s="747">
        <v>0</v>
      </c>
      <c r="Q20" s="1001"/>
      <c r="R20" s="1001"/>
      <c r="S20" s="1008"/>
      <c r="T20" s="1001"/>
      <c r="U20" s="1001"/>
      <c r="V20" s="642">
        <f t="shared" si="5"/>
        <v>1</v>
      </c>
    </row>
    <row r="21" spans="1:22" ht="15.75" thickBot="1" x14ac:dyDescent="0.3">
      <c r="A21" s="651">
        <v>44306</v>
      </c>
      <c r="B21" s="657" t="str">
        <f t="shared" si="0"/>
        <v>Út</v>
      </c>
      <c r="C21" s="748">
        <f t="shared" si="1"/>
        <v>0</v>
      </c>
      <c r="D21" s="837">
        <f t="shared" si="2"/>
        <v>0</v>
      </c>
      <c r="E21" s="724"/>
      <c r="F21" s="726"/>
      <c r="G21" s="727"/>
      <c r="H21" s="654" t="s">
        <v>325</v>
      </c>
      <c r="I21" s="657" t="s">
        <v>318</v>
      </c>
      <c r="J21" s="654" t="s">
        <v>139</v>
      </c>
      <c r="K21" s="657" t="s">
        <v>326</v>
      </c>
      <c r="L21" s="654" t="s">
        <v>300</v>
      </c>
      <c r="M21" s="657" t="s">
        <v>16</v>
      </c>
      <c r="N21" s="714">
        <v>0</v>
      </c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5"/>
        <v>2</v>
      </c>
    </row>
    <row r="22" spans="1:22" ht="15.75" thickBot="1" x14ac:dyDescent="0.3">
      <c r="A22" s="651">
        <v>44307</v>
      </c>
      <c r="B22" s="657" t="str">
        <f t="shared" si="0"/>
        <v>St</v>
      </c>
      <c r="C22" s="748">
        <f t="shared" si="1"/>
        <v>0</v>
      </c>
      <c r="D22" s="837">
        <f t="shared" si="2"/>
        <v>0</v>
      </c>
      <c r="E22" s="724"/>
      <c r="F22" s="726"/>
      <c r="G22" s="727"/>
      <c r="H22" s="654" t="s">
        <v>325</v>
      </c>
      <c r="I22" s="657" t="s">
        <v>318</v>
      </c>
      <c r="J22" s="654" t="s">
        <v>139</v>
      </c>
      <c r="K22" s="657" t="s">
        <v>326</v>
      </c>
      <c r="L22" s="654" t="s">
        <v>300</v>
      </c>
      <c r="M22" s="657" t="s">
        <v>16</v>
      </c>
      <c r="N22" s="714">
        <v>0</v>
      </c>
      <c r="O22" s="738">
        <v>0</v>
      </c>
      <c r="P22" s="747">
        <v>0</v>
      </c>
      <c r="Q22" s="1001"/>
      <c r="R22" s="1015">
        <f>Q17-Q24</f>
        <v>4874.5200000000004</v>
      </c>
      <c r="S22" s="1016">
        <f>T17-Q24</f>
        <v>4874.5200000000004</v>
      </c>
      <c r="T22" s="1001"/>
      <c r="U22" s="1001"/>
      <c r="V22" s="642">
        <f t="shared" si="5"/>
        <v>3</v>
      </c>
    </row>
    <row r="23" spans="1:22" ht="15.75" thickBot="1" x14ac:dyDescent="0.3">
      <c r="A23" s="651">
        <v>44308</v>
      </c>
      <c r="B23" s="657" t="str">
        <f t="shared" si="0"/>
        <v>Čt</v>
      </c>
      <c r="C23" s="748">
        <f t="shared" si="1"/>
        <v>0</v>
      </c>
      <c r="D23" s="837">
        <f t="shared" si="2"/>
        <v>0</v>
      </c>
      <c r="E23" s="724"/>
      <c r="F23" s="726"/>
      <c r="G23" s="727"/>
      <c r="H23" s="654" t="s">
        <v>325</v>
      </c>
      <c r="I23" s="657" t="s">
        <v>318</v>
      </c>
      <c r="J23" s="654" t="s">
        <v>139</v>
      </c>
      <c r="K23" s="657" t="s">
        <v>326</v>
      </c>
      <c r="L23" s="654" t="s">
        <v>300</v>
      </c>
      <c r="M23" s="657" t="s">
        <v>16</v>
      </c>
      <c r="N23" s="714">
        <v>0</v>
      </c>
      <c r="O23" s="897" t="s">
        <v>364</v>
      </c>
      <c r="P23" s="895" t="s">
        <v>363</v>
      </c>
      <c r="Q23" s="1011" t="s">
        <v>460</v>
      </c>
      <c r="R23" s="1001"/>
      <c r="S23" s="1008"/>
      <c r="T23" s="1001"/>
      <c r="U23" s="1001"/>
      <c r="V23" s="642">
        <f t="shared" si="5"/>
        <v>4</v>
      </c>
    </row>
    <row r="24" spans="1:22" ht="15.75" thickBot="1" x14ac:dyDescent="0.3">
      <c r="A24" s="651">
        <v>44309</v>
      </c>
      <c r="B24" s="657" t="str">
        <f t="shared" si="0"/>
        <v>Pá</v>
      </c>
      <c r="C24" s="748">
        <f t="shared" si="1"/>
        <v>0</v>
      </c>
      <c r="D24" s="837">
        <f t="shared" si="2"/>
        <v>0</v>
      </c>
      <c r="E24" s="724"/>
      <c r="F24" s="726"/>
      <c r="G24" s="727"/>
      <c r="H24" s="654" t="s">
        <v>325</v>
      </c>
      <c r="I24" s="657" t="s">
        <v>318</v>
      </c>
      <c r="J24" s="654" t="s">
        <v>139</v>
      </c>
      <c r="K24" s="657" t="s">
        <v>326</v>
      </c>
      <c r="L24" s="654" t="s">
        <v>300</v>
      </c>
      <c r="M24" s="657" t="s">
        <v>16</v>
      </c>
      <c r="N24" s="714">
        <v>0</v>
      </c>
      <c r="O24" s="898">
        <f>P12-Q5</f>
        <v>4874.5200000000004</v>
      </c>
      <c r="P24" s="747">
        <f>O26-O28</f>
        <v>4980</v>
      </c>
      <c r="Q24" s="1012">
        <f>O26-O28</f>
        <v>4980</v>
      </c>
      <c r="R24" s="1006"/>
      <c r="S24" s="1010"/>
      <c r="T24" s="1006"/>
      <c r="U24" s="1006"/>
      <c r="V24" s="642">
        <f t="shared" si="5"/>
        <v>5</v>
      </c>
    </row>
    <row r="25" spans="1:22" ht="15.75" thickBot="1" x14ac:dyDescent="0.3">
      <c r="A25" s="651">
        <v>44310</v>
      </c>
      <c r="B25" s="657" t="str">
        <f t="shared" si="0"/>
        <v>So</v>
      </c>
      <c r="C25" s="748">
        <f t="shared" si="1"/>
        <v>0</v>
      </c>
      <c r="D25" s="837">
        <f t="shared" si="2"/>
        <v>0</v>
      </c>
      <c r="E25" s="724"/>
      <c r="F25" s="726"/>
      <c r="G25" s="727"/>
      <c r="H25" s="654" t="s">
        <v>325</v>
      </c>
      <c r="I25" s="657" t="s">
        <v>318</v>
      </c>
      <c r="J25" s="654" t="s">
        <v>139</v>
      </c>
      <c r="K25" s="657" t="s">
        <v>326</v>
      </c>
      <c r="L25" s="654" t="s">
        <v>300</v>
      </c>
      <c r="M25" s="657" t="s">
        <v>16</v>
      </c>
      <c r="N25" s="714">
        <v>0</v>
      </c>
      <c r="O25" s="711" t="s">
        <v>367</v>
      </c>
      <c r="P25" s="646"/>
      <c r="Q25" s="718"/>
      <c r="R25" s="718"/>
      <c r="S25" s="718"/>
      <c r="T25" s="718"/>
      <c r="U25" s="718"/>
      <c r="V25" s="642">
        <f t="shared" si="5"/>
        <v>6</v>
      </c>
    </row>
    <row r="26" spans="1:22" ht="15.75" thickBot="1" x14ac:dyDescent="0.3">
      <c r="A26" s="651">
        <v>44311</v>
      </c>
      <c r="B26" s="657" t="str">
        <f t="shared" si="0"/>
        <v>Ne</v>
      </c>
      <c r="C26" s="748">
        <f t="shared" si="1"/>
        <v>0</v>
      </c>
      <c r="D26" s="837">
        <f t="shared" si="2"/>
        <v>0</v>
      </c>
      <c r="E26" s="724"/>
      <c r="F26" s="726"/>
      <c r="G26" s="727"/>
      <c r="H26" s="654" t="s">
        <v>325</v>
      </c>
      <c r="I26" s="657" t="s">
        <v>318</v>
      </c>
      <c r="J26" s="654" t="s">
        <v>139</v>
      </c>
      <c r="K26" s="657" t="s">
        <v>326</v>
      </c>
      <c r="L26" s="654" t="s">
        <v>300</v>
      </c>
      <c r="M26" s="657" t="s">
        <v>16</v>
      </c>
      <c r="N26" s="714">
        <v>0</v>
      </c>
      <c r="O26" s="738">
        <v>77614</v>
      </c>
      <c r="P26" s="747"/>
      <c r="Q26" s="718"/>
      <c r="R26" s="718"/>
      <c r="S26" s="718"/>
      <c r="T26" s="718"/>
      <c r="U26" s="718"/>
      <c r="V26" s="642">
        <f t="shared" si="5"/>
        <v>7</v>
      </c>
    </row>
    <row r="27" spans="1:22" ht="15.75" thickBot="1" x14ac:dyDescent="0.3">
      <c r="A27" s="651">
        <v>44312</v>
      </c>
      <c r="B27" s="657" t="str">
        <f t="shared" si="0"/>
        <v>Po</v>
      </c>
      <c r="C27" s="748">
        <f t="shared" si="1"/>
        <v>0</v>
      </c>
      <c r="D27" s="837">
        <f t="shared" si="2"/>
        <v>0</v>
      </c>
      <c r="E27" s="724"/>
      <c r="F27" s="726"/>
      <c r="G27" s="727"/>
      <c r="H27" s="654" t="s">
        <v>325</v>
      </c>
      <c r="I27" s="657" t="s">
        <v>318</v>
      </c>
      <c r="J27" s="654" t="s">
        <v>139</v>
      </c>
      <c r="K27" s="657" t="s">
        <v>326</v>
      </c>
      <c r="L27" s="654" t="s">
        <v>300</v>
      </c>
      <c r="M27" s="657" t="s">
        <v>16</v>
      </c>
      <c r="N27" s="714">
        <v>0</v>
      </c>
      <c r="O27" s="711" t="s">
        <v>365</v>
      </c>
      <c r="P27" s="646"/>
      <c r="Q27" s="718"/>
      <c r="R27" s="718"/>
      <c r="S27" s="718"/>
      <c r="T27" s="718"/>
      <c r="U27" s="718"/>
      <c r="V27" s="642">
        <f t="shared" si="5"/>
        <v>1</v>
      </c>
    </row>
    <row r="28" spans="1:22" ht="15.75" thickBot="1" x14ac:dyDescent="0.3">
      <c r="A28" s="651">
        <v>44313</v>
      </c>
      <c r="B28" s="657" t="str">
        <f t="shared" si="0"/>
        <v>Út</v>
      </c>
      <c r="C28" s="748">
        <f t="shared" si="1"/>
        <v>0</v>
      </c>
      <c r="D28" s="837">
        <f t="shared" si="2"/>
        <v>0</v>
      </c>
      <c r="E28" s="724"/>
      <c r="F28" s="726"/>
      <c r="G28" s="727"/>
      <c r="H28" s="654" t="s">
        <v>325</v>
      </c>
      <c r="I28" s="657" t="s">
        <v>318</v>
      </c>
      <c r="J28" s="654" t="s">
        <v>139</v>
      </c>
      <c r="K28" s="657" t="s">
        <v>326</v>
      </c>
      <c r="L28" s="654" t="s">
        <v>300</v>
      </c>
      <c r="M28" s="657" t="s">
        <v>16</v>
      </c>
      <c r="N28" s="714">
        <v>0</v>
      </c>
      <c r="O28" s="738">
        <f>'03hod21'!O26</f>
        <v>72634</v>
      </c>
      <c r="P28" s="646"/>
      <c r="Q28" s="718"/>
      <c r="R28" s="718"/>
      <c r="S28" s="718"/>
      <c r="T28" s="718"/>
      <c r="U28" s="718"/>
      <c r="V28" s="642">
        <f t="shared" si="5"/>
        <v>2</v>
      </c>
    </row>
    <row r="29" spans="1:22" ht="15.75" thickBot="1" x14ac:dyDescent="0.3">
      <c r="A29" s="651">
        <v>44314</v>
      </c>
      <c r="B29" s="657" t="str">
        <f t="shared" si="0"/>
        <v>St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 t="s">
        <v>325</v>
      </c>
      <c r="I29" s="657" t="s">
        <v>318</v>
      </c>
      <c r="J29" s="654" t="s">
        <v>139</v>
      </c>
      <c r="K29" s="657" t="s">
        <v>326</v>
      </c>
      <c r="L29" s="654" t="s">
        <v>300</v>
      </c>
      <c r="M29" s="657" t="s">
        <v>16</v>
      </c>
      <c r="N29" s="714">
        <v>0</v>
      </c>
      <c r="O29" s="712"/>
      <c r="P29" s="648"/>
      <c r="Q29" s="718"/>
      <c r="R29" s="718"/>
      <c r="S29" s="718"/>
      <c r="T29" s="718"/>
      <c r="U29" s="718"/>
      <c r="V29" s="642">
        <f t="shared" si="5"/>
        <v>3</v>
      </c>
    </row>
    <row r="30" spans="1:22" ht="15.75" thickBot="1" x14ac:dyDescent="0.3">
      <c r="A30" s="651">
        <v>44315</v>
      </c>
      <c r="B30" s="657" t="str">
        <f t="shared" si="0"/>
        <v>Čt</v>
      </c>
      <c r="C30" s="748">
        <f t="shared" si="1"/>
        <v>0</v>
      </c>
      <c r="D30" s="837">
        <f t="shared" si="2"/>
        <v>0</v>
      </c>
      <c r="E30" s="724"/>
      <c r="F30" s="726"/>
      <c r="G30" s="727"/>
      <c r="H30" s="654" t="s">
        <v>325</v>
      </c>
      <c r="I30" s="657" t="s">
        <v>318</v>
      </c>
      <c r="J30" s="654" t="s">
        <v>139</v>
      </c>
      <c r="K30" s="657" t="s">
        <v>326</v>
      </c>
      <c r="L30" s="654" t="s">
        <v>300</v>
      </c>
      <c r="M30" s="657" t="s">
        <v>16</v>
      </c>
      <c r="N30" s="708">
        <v>0</v>
      </c>
      <c r="O30" s="715"/>
      <c r="P30" s="720"/>
      <c r="Q30" s="718"/>
      <c r="R30" s="718"/>
      <c r="S30" s="718"/>
      <c r="T30" s="718"/>
      <c r="U30" s="718"/>
      <c r="V30" s="642">
        <f t="shared" si="5"/>
        <v>4</v>
      </c>
    </row>
    <row r="31" spans="1:22" ht="15.75" thickBot="1" x14ac:dyDescent="0.3">
      <c r="A31" s="651">
        <v>44316</v>
      </c>
      <c r="B31" s="657" t="str">
        <f t="shared" si="0"/>
        <v>Pá</v>
      </c>
      <c r="C31" s="748">
        <f t="shared" si="1"/>
        <v>0</v>
      </c>
      <c r="D31" s="837">
        <f t="shared" si="2"/>
        <v>0</v>
      </c>
      <c r="E31" s="724"/>
      <c r="F31" s="726"/>
      <c r="G31" s="727"/>
      <c r="H31" s="654" t="s">
        <v>325</v>
      </c>
      <c r="I31" s="657" t="s">
        <v>318</v>
      </c>
      <c r="J31" s="654" t="s">
        <v>139</v>
      </c>
      <c r="K31" s="657" t="s">
        <v>326</v>
      </c>
      <c r="L31" s="654" t="s">
        <v>300</v>
      </c>
      <c r="M31" s="657" t="s">
        <v>16</v>
      </c>
      <c r="N31" s="708">
        <v>0</v>
      </c>
      <c r="O31" s="649"/>
      <c r="P31" s="646"/>
      <c r="Q31" s="718"/>
      <c r="R31" s="718"/>
      <c r="S31" s="718"/>
      <c r="T31" s="718"/>
      <c r="U31" s="718"/>
      <c r="V31" s="642">
        <f t="shared" si="5"/>
        <v>5</v>
      </c>
    </row>
    <row r="32" spans="1:22" ht="15.75" thickBot="1" x14ac:dyDescent="0.3">
      <c r="A32" s="651">
        <v>44317</v>
      </c>
      <c r="B32" s="657" t="str">
        <f t="shared" si="0"/>
        <v>So</v>
      </c>
      <c r="C32" s="748">
        <f t="shared" si="1"/>
        <v>0</v>
      </c>
      <c r="D32" s="837">
        <f t="shared" si="2"/>
        <v>0</v>
      </c>
      <c r="E32" s="724"/>
      <c r="F32" s="726"/>
      <c r="G32" s="727"/>
      <c r="H32" s="654" t="s">
        <v>325</v>
      </c>
      <c r="I32" s="657" t="s">
        <v>318</v>
      </c>
      <c r="J32" s="654" t="s">
        <v>139</v>
      </c>
      <c r="K32" s="657" t="s">
        <v>326</v>
      </c>
      <c r="L32" s="654" t="s">
        <v>300</v>
      </c>
      <c r="M32" s="657" t="s">
        <v>16</v>
      </c>
      <c r="N32" s="708">
        <v>0</v>
      </c>
      <c r="O32" s="649"/>
      <c r="P32" s="646"/>
      <c r="Q32" s="718"/>
      <c r="R32" s="718"/>
      <c r="S32" s="718"/>
      <c r="T32" s="718"/>
      <c r="U32" s="718"/>
      <c r="V32" s="642">
        <f t="shared" si="5"/>
        <v>6</v>
      </c>
    </row>
    <row r="33" spans="1:22" ht="15.75" thickBot="1" x14ac:dyDescent="0.3">
      <c r="A33" s="651">
        <v>44318</v>
      </c>
      <c r="B33" s="657" t="str">
        <f t="shared" si="0"/>
        <v>Ne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 t="s">
        <v>325</v>
      </c>
      <c r="I33" s="657" t="s">
        <v>318</v>
      </c>
      <c r="J33" s="654" t="s">
        <v>139</v>
      </c>
      <c r="K33" s="657" t="s">
        <v>326</v>
      </c>
      <c r="L33" s="654" t="s">
        <v>300</v>
      </c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7</v>
      </c>
    </row>
    <row r="34" spans="1:22" ht="15.75" thickBot="1" x14ac:dyDescent="0.3">
      <c r="A34" s="651">
        <v>44319</v>
      </c>
      <c r="B34" s="657" t="str">
        <f t="shared" si="0"/>
        <v>Po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 t="s">
        <v>325</v>
      </c>
      <c r="I34" s="657" t="s">
        <v>318</v>
      </c>
      <c r="J34" s="654" t="s">
        <v>139</v>
      </c>
      <c r="K34" s="657" t="s">
        <v>326</v>
      </c>
      <c r="L34" s="654" t="s">
        <v>300</v>
      </c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6">WEEKDAY(A34,2)</f>
        <v>1</v>
      </c>
    </row>
    <row r="35" spans="1:22" ht="15.75" thickBot="1" x14ac:dyDescent="0.3">
      <c r="A35" s="651">
        <v>44320</v>
      </c>
      <c r="B35" s="658" t="str">
        <f t="shared" si="0"/>
        <v>Út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4" t="s">
        <v>325</v>
      </c>
      <c r="I35" s="657" t="s">
        <v>318</v>
      </c>
      <c r="J35" s="654" t="s">
        <v>139</v>
      </c>
      <c r="K35" s="657" t="s">
        <v>326</v>
      </c>
      <c r="L35" s="654" t="s">
        <v>300</v>
      </c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6"/>
        <v>2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5.7083333333333339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honeticPr fontId="30" alignment="center"/>
  <pageMargins left="0.7" right="0.7" top="0.75" bottom="0.75" header="0.3" footer="0.3"/>
  <drawing r:id="rId1"/>
  <tableParts count="1">
    <tablePart r:id="rId2"/>
  </tableParts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68F60A-C028-754B-A6DE-1E9088DF3D8F}">
  <dimension ref="A1:V45"/>
  <sheetViews>
    <sheetView zoomScaleNormal="60" zoomScaleSheetLayoutView="100" workbookViewId="0">
      <selection activeCell="Q14" sqref="Q14:U24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0" bestFit="1" customWidth="1"/>
    <col min="9" max="10" width="9.7109375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11.5703125" customWidth="1"/>
    <col min="19" max="19" width="16.140625" customWidth="1"/>
    <col min="20" max="20" width="10.710937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371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44317</v>
      </c>
      <c r="B2" s="656" t="str">
        <f t="shared" ref="B2:B35" si="0">CHOOSE(WEEKDAY(V2),"Po","Út","St","Čt","Pá","So","Ne")</f>
        <v>So</v>
      </c>
      <c r="C2" s="748">
        <f t="shared" ref="C2:C35" si="1">G2-E2-F2</f>
        <v>0</v>
      </c>
      <c r="D2" s="836">
        <f t="shared" ref="D2:D35" si="2">(N2*C2)*24</f>
        <v>0</v>
      </c>
      <c r="E2" s="723"/>
      <c r="F2" s="726"/>
      <c r="G2" s="726"/>
      <c r="H2" s="654" t="s">
        <v>50</v>
      </c>
      <c r="I2" s="657"/>
      <c r="J2" s="653"/>
      <c r="K2" s="656"/>
      <c r="L2" s="653"/>
      <c r="M2" s="656"/>
      <c r="N2" s="713"/>
      <c r="O2" s="834">
        <f>(O4+O6)</f>
        <v>270.5</v>
      </c>
      <c r="P2" s="716">
        <f t="shared" ref="P2" si="3">P4+P6</f>
        <v>270.5</v>
      </c>
      <c r="Q2" s="853">
        <v>19310</v>
      </c>
      <c r="R2" s="644" t="s">
        <v>17</v>
      </c>
      <c r="S2" s="644" t="s">
        <v>328</v>
      </c>
      <c r="T2" s="875">
        <v>44333</v>
      </c>
      <c r="U2" s="722">
        <f>T7*20</f>
        <v>0</v>
      </c>
      <c r="V2" s="642">
        <f t="shared" ref="V2:V32" si="4">WEEKDAY(A2,2)</f>
        <v>6</v>
      </c>
    </row>
    <row r="3" spans="1:22" ht="15.75" thickBot="1" x14ac:dyDescent="0.3">
      <c r="A3" s="904">
        <v>44318</v>
      </c>
      <c r="B3" s="905" t="str">
        <f t="shared" si="0"/>
        <v>Ne</v>
      </c>
      <c r="C3" s="906">
        <f t="shared" si="1"/>
        <v>0</v>
      </c>
      <c r="D3" s="907">
        <f t="shared" si="2"/>
        <v>0</v>
      </c>
      <c r="E3" s="908"/>
      <c r="F3" s="909"/>
      <c r="G3" s="910"/>
      <c r="H3" s="911" t="s">
        <v>50</v>
      </c>
      <c r="I3" s="905"/>
      <c r="J3" s="911"/>
      <c r="K3" s="905"/>
      <c r="L3" s="911"/>
      <c r="M3" s="905"/>
      <c r="N3" s="912"/>
      <c r="O3" s="711" t="s">
        <v>19</v>
      </c>
      <c r="P3" s="717" t="s">
        <v>19</v>
      </c>
      <c r="Q3" s="738">
        <v>0</v>
      </c>
      <c r="R3" s="611"/>
      <c r="S3" s="611"/>
      <c r="T3" s="646"/>
      <c r="U3" s="718"/>
      <c r="V3" s="642">
        <f t="shared" si="4"/>
        <v>7</v>
      </c>
    </row>
    <row r="4" spans="1:22" ht="15.75" thickBot="1" x14ac:dyDescent="0.3">
      <c r="A4" s="913">
        <v>44319</v>
      </c>
      <c r="B4" s="721" t="str">
        <f t="shared" si="0"/>
        <v>Po</v>
      </c>
      <c r="C4" s="914">
        <f t="shared" si="1"/>
        <v>0.35416666666666674</v>
      </c>
      <c r="D4" s="915">
        <f t="shared" si="2"/>
        <v>42.500000000000007</v>
      </c>
      <c r="E4" s="916">
        <v>0.33333333333333331</v>
      </c>
      <c r="F4" s="917">
        <f>TIME(0,30,0)</f>
        <v>2.0833333333333332E-2</v>
      </c>
      <c r="G4" s="917">
        <v>0.70833333333333337</v>
      </c>
      <c r="H4" s="920" t="s">
        <v>335</v>
      </c>
      <c r="I4" s="721" t="s">
        <v>336</v>
      </c>
      <c r="J4" s="918" t="s">
        <v>337</v>
      </c>
      <c r="K4" s="721" t="s">
        <v>338</v>
      </c>
      <c r="L4" s="918" t="s">
        <v>300</v>
      </c>
      <c r="M4" s="721">
        <v>3</v>
      </c>
      <c r="N4" s="919">
        <v>5</v>
      </c>
      <c r="O4" s="835">
        <f>O40*24</f>
        <v>270.5</v>
      </c>
      <c r="P4" s="717">
        <v>270.5</v>
      </c>
      <c r="Q4" s="738">
        <v>0</v>
      </c>
      <c r="R4" s="611"/>
      <c r="S4" s="611"/>
      <c r="T4" s="646"/>
      <c r="U4" s="718"/>
      <c r="V4" s="642">
        <f t="shared" si="4"/>
        <v>1</v>
      </c>
    </row>
    <row r="5" spans="1:22" ht="15.75" thickBot="1" x14ac:dyDescent="0.3">
      <c r="A5" s="651">
        <v>44320</v>
      </c>
      <c r="B5" s="657" t="str">
        <f t="shared" si="0"/>
        <v>Út</v>
      </c>
      <c r="C5" s="748">
        <f t="shared" si="1"/>
        <v>0.47916666666666663</v>
      </c>
      <c r="D5" s="837">
        <f t="shared" si="2"/>
        <v>57.499999999999993</v>
      </c>
      <c r="E5" s="724">
        <v>0.29166666666666669</v>
      </c>
      <c r="F5" s="726">
        <f>TIME(0,30,0)</f>
        <v>2.0833333333333332E-2</v>
      </c>
      <c r="G5" s="727">
        <v>0.79166666666666663</v>
      </c>
      <c r="H5" s="654" t="s">
        <v>335</v>
      </c>
      <c r="I5" s="657" t="s">
        <v>336</v>
      </c>
      <c r="J5" s="654" t="s">
        <v>337</v>
      </c>
      <c r="K5" s="657" t="s">
        <v>338</v>
      </c>
      <c r="L5" s="654" t="s">
        <v>300</v>
      </c>
      <c r="M5" s="657">
        <v>3</v>
      </c>
      <c r="N5" s="714">
        <v>5</v>
      </c>
      <c r="O5" s="711" t="s">
        <v>14</v>
      </c>
      <c r="P5" s="717" t="s">
        <v>14</v>
      </c>
      <c r="Q5" s="738">
        <v>9053</v>
      </c>
      <c r="R5" s="611" t="s">
        <v>17</v>
      </c>
      <c r="S5" s="611" t="s">
        <v>339</v>
      </c>
      <c r="T5" s="874">
        <v>44362</v>
      </c>
      <c r="U5" s="718"/>
      <c r="V5" s="642">
        <f t="shared" si="4"/>
        <v>2</v>
      </c>
    </row>
    <row r="6" spans="1:22" ht="15.75" thickBot="1" x14ac:dyDescent="0.3">
      <c r="A6" s="651">
        <v>44321</v>
      </c>
      <c r="B6" s="657" t="str">
        <f t="shared" si="0"/>
        <v>St</v>
      </c>
      <c r="C6" s="748">
        <f t="shared" si="1"/>
        <v>0.47916666666666663</v>
      </c>
      <c r="D6" s="837">
        <f t="shared" si="2"/>
        <v>57.499999999999993</v>
      </c>
      <c r="E6" s="724">
        <v>0.29166666666666669</v>
      </c>
      <c r="F6" s="726">
        <f>TIME(0,30,0)</f>
        <v>2.0833333333333332E-2</v>
      </c>
      <c r="G6" s="727">
        <v>0.79166666666666663</v>
      </c>
      <c r="H6" s="654" t="s">
        <v>335</v>
      </c>
      <c r="I6" s="657" t="s">
        <v>336</v>
      </c>
      <c r="J6" s="654" t="s">
        <v>337</v>
      </c>
      <c r="K6" s="657" t="s">
        <v>338</v>
      </c>
      <c r="L6" s="654" t="s">
        <v>300</v>
      </c>
      <c r="M6" s="657">
        <v>3</v>
      </c>
      <c r="N6" s="714">
        <v>5</v>
      </c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4"/>
        <v>3</v>
      </c>
    </row>
    <row r="7" spans="1:22" ht="15.75" thickBot="1" x14ac:dyDescent="0.3">
      <c r="A7" s="651">
        <v>44322</v>
      </c>
      <c r="B7" s="657" t="str">
        <f t="shared" si="0"/>
        <v>Čt</v>
      </c>
      <c r="C7" s="748">
        <f t="shared" si="1"/>
        <v>0.47916666666666663</v>
      </c>
      <c r="D7" s="837">
        <f t="shared" si="2"/>
        <v>57.499999999999993</v>
      </c>
      <c r="E7" s="724">
        <v>0.29166666666666669</v>
      </c>
      <c r="F7" s="726">
        <f>TIME(0,30,0)</f>
        <v>2.0833333333333332E-2</v>
      </c>
      <c r="G7" s="727">
        <v>0.79166666666666663</v>
      </c>
      <c r="H7" s="654" t="s">
        <v>335</v>
      </c>
      <c r="I7" s="657" t="s">
        <v>336</v>
      </c>
      <c r="J7" s="654" t="s">
        <v>337</v>
      </c>
      <c r="K7" s="657" t="s">
        <v>338</v>
      </c>
      <c r="L7" s="654" t="s">
        <v>300</v>
      </c>
      <c r="M7" s="657">
        <v>3</v>
      </c>
      <c r="N7" s="714">
        <v>5</v>
      </c>
      <c r="O7" s="711" t="s">
        <v>20</v>
      </c>
      <c r="P7" s="646" t="s">
        <v>20</v>
      </c>
      <c r="Q7" s="924">
        <f>Q3+Q4</f>
        <v>0</v>
      </c>
      <c r="R7" s="718"/>
      <c r="S7" s="718"/>
      <c r="T7" s="718"/>
      <c r="U7" s="718"/>
      <c r="V7" s="642">
        <f t="shared" si="4"/>
        <v>4</v>
      </c>
    </row>
    <row r="8" spans="1:22" ht="15.75" thickBot="1" x14ac:dyDescent="0.3">
      <c r="A8" s="651">
        <v>44323</v>
      </c>
      <c r="B8" s="657" t="str">
        <f t="shared" si="0"/>
        <v>Pá</v>
      </c>
      <c r="C8" s="748">
        <f t="shared" si="1"/>
        <v>0.33333333333333331</v>
      </c>
      <c r="D8" s="837">
        <f t="shared" si="2"/>
        <v>40</v>
      </c>
      <c r="E8" s="724">
        <v>0.29166666666666669</v>
      </c>
      <c r="F8" s="726">
        <v>0</v>
      </c>
      <c r="G8" s="727">
        <v>0.625</v>
      </c>
      <c r="H8" s="654" t="s">
        <v>335</v>
      </c>
      <c r="I8" s="657" t="s">
        <v>336</v>
      </c>
      <c r="J8" s="654" t="s">
        <v>337</v>
      </c>
      <c r="K8" s="657" t="s">
        <v>343</v>
      </c>
      <c r="L8" s="654" t="s">
        <v>300</v>
      </c>
      <c r="M8" s="657">
        <v>3</v>
      </c>
      <c r="N8" s="714">
        <v>5</v>
      </c>
      <c r="O8" s="711" t="s">
        <v>22</v>
      </c>
      <c r="P8" s="646" t="s">
        <v>22</v>
      </c>
      <c r="Q8" s="657" t="s">
        <v>374</v>
      </c>
      <c r="R8" s="718"/>
      <c r="S8" s="718"/>
      <c r="T8" s="718"/>
      <c r="U8" s="718"/>
      <c r="V8" s="642">
        <f t="shared" si="4"/>
        <v>5</v>
      </c>
    </row>
    <row r="9" spans="1:22" ht="15.75" thickBot="1" x14ac:dyDescent="0.3">
      <c r="A9" s="651">
        <v>44324</v>
      </c>
      <c r="B9" s="657" t="str">
        <f t="shared" si="0"/>
        <v>So</v>
      </c>
      <c r="C9" s="748">
        <f t="shared" si="1"/>
        <v>0.41666666666666669</v>
      </c>
      <c r="D9" s="837">
        <f t="shared" si="2"/>
        <v>50</v>
      </c>
      <c r="E9" s="724">
        <v>0.29166666666666669</v>
      </c>
      <c r="F9" s="726">
        <v>0</v>
      </c>
      <c r="G9" s="727">
        <v>0.70833333333333337</v>
      </c>
      <c r="H9" s="654" t="s">
        <v>27</v>
      </c>
      <c r="I9" s="657"/>
      <c r="J9" s="654" t="s">
        <v>350</v>
      </c>
      <c r="K9" s="657" t="s">
        <v>27</v>
      </c>
      <c r="L9" s="654" t="s">
        <v>15</v>
      </c>
      <c r="M9" s="657">
        <v>3</v>
      </c>
      <c r="N9" s="714">
        <v>5</v>
      </c>
      <c r="O9" s="711" t="s">
        <v>23</v>
      </c>
      <c r="P9" s="646" t="s">
        <v>23</v>
      </c>
      <c r="Q9" s="851">
        <f>SUM(Q2:Q4)</f>
        <v>19310</v>
      </c>
      <c r="R9" s="718"/>
      <c r="S9" s="718"/>
      <c r="T9" s="718"/>
      <c r="U9" s="718"/>
      <c r="V9" s="642">
        <f t="shared" si="4"/>
        <v>6</v>
      </c>
    </row>
    <row r="10" spans="1:22" ht="15.75" thickBot="1" x14ac:dyDescent="0.3">
      <c r="A10" s="904">
        <v>44325</v>
      </c>
      <c r="B10" s="905" t="str">
        <f t="shared" si="0"/>
        <v>Ne</v>
      </c>
      <c r="C10" s="906">
        <f t="shared" si="1"/>
        <v>0</v>
      </c>
      <c r="D10" s="907">
        <f t="shared" si="2"/>
        <v>0</v>
      </c>
      <c r="E10" s="908"/>
      <c r="F10" s="909"/>
      <c r="G10" s="910"/>
      <c r="H10" s="911" t="s">
        <v>347</v>
      </c>
      <c r="I10" s="905" t="s">
        <v>348</v>
      </c>
      <c r="J10" s="911" t="s">
        <v>112</v>
      </c>
      <c r="K10" s="905"/>
      <c r="L10" s="911" t="s">
        <v>15</v>
      </c>
      <c r="M10" s="905">
        <v>3</v>
      </c>
      <c r="N10" s="912"/>
      <c r="O10" s="738">
        <f>(O2*380)+U2</f>
        <v>102790</v>
      </c>
      <c r="P10" s="747">
        <f>SUM(P2*380)</f>
        <v>102790</v>
      </c>
      <c r="Q10" s="923" t="s">
        <v>388</v>
      </c>
      <c r="R10" s="718"/>
      <c r="S10" s="718"/>
      <c r="T10" s="718"/>
      <c r="U10" s="718"/>
      <c r="V10" s="642">
        <f t="shared" si="4"/>
        <v>7</v>
      </c>
    </row>
    <row r="11" spans="1:22" ht="15.75" thickBot="1" x14ac:dyDescent="0.3">
      <c r="A11" s="913">
        <v>44326</v>
      </c>
      <c r="B11" s="721" t="str">
        <f t="shared" si="0"/>
        <v>Po</v>
      </c>
      <c r="C11" s="914">
        <f t="shared" si="1"/>
        <v>0.37499999999999994</v>
      </c>
      <c r="D11" s="915">
        <f t="shared" si="2"/>
        <v>44.999999999999993</v>
      </c>
      <c r="E11" s="916">
        <v>0.29166666666666669</v>
      </c>
      <c r="F11" s="917">
        <v>0</v>
      </c>
      <c r="G11" s="917">
        <v>0.66666666666666663</v>
      </c>
      <c r="H11" s="918" t="s">
        <v>347</v>
      </c>
      <c r="I11" s="721" t="s">
        <v>349</v>
      </c>
      <c r="J11" s="918" t="s">
        <v>112</v>
      </c>
      <c r="K11" s="721" t="s">
        <v>343</v>
      </c>
      <c r="L11" s="918" t="s">
        <v>15</v>
      </c>
      <c r="M11" s="721">
        <v>3</v>
      </c>
      <c r="N11" s="919">
        <v>5</v>
      </c>
      <c r="O11" s="899" t="s">
        <v>361</v>
      </c>
      <c r="P11" s="900" t="s">
        <v>361</v>
      </c>
      <c r="Q11" s="718"/>
      <c r="R11" s="718"/>
      <c r="S11" s="718"/>
      <c r="T11" s="718"/>
      <c r="U11" s="718"/>
      <c r="V11" s="642">
        <f t="shared" si="4"/>
        <v>1</v>
      </c>
    </row>
    <row r="12" spans="1:22" ht="15.75" thickBot="1" x14ac:dyDescent="0.3">
      <c r="A12" s="651">
        <v>44327</v>
      </c>
      <c r="B12" s="657" t="str">
        <f t="shared" si="0"/>
        <v>Út</v>
      </c>
      <c r="C12" s="748">
        <f t="shared" si="1"/>
        <v>0.37499999999999994</v>
      </c>
      <c r="D12" s="837">
        <f t="shared" si="2"/>
        <v>44.999999999999993</v>
      </c>
      <c r="E12" s="724">
        <v>0.29166666666666669</v>
      </c>
      <c r="F12" s="726">
        <v>0</v>
      </c>
      <c r="G12" s="727">
        <v>0.66666666666666663</v>
      </c>
      <c r="H12" s="654" t="s">
        <v>347</v>
      </c>
      <c r="I12" s="657" t="s">
        <v>349</v>
      </c>
      <c r="J12" s="654" t="s">
        <v>112</v>
      </c>
      <c r="K12" s="657" t="s">
        <v>343</v>
      </c>
      <c r="L12" s="654" t="s">
        <v>15</v>
      </c>
      <c r="M12" s="657">
        <v>3</v>
      </c>
      <c r="N12" s="714">
        <v>5</v>
      </c>
      <c r="O12" s="898">
        <f>(O10+O20+O18-O22)-O14-P24</f>
        <v>73023.082800000004</v>
      </c>
      <c r="P12" s="901">
        <f>(P10+P18+P20-P22)-P14-P24</f>
        <v>73028</v>
      </c>
      <c r="Q12" s="718"/>
      <c r="R12" s="718"/>
      <c r="S12" s="718"/>
      <c r="T12" s="718"/>
      <c r="U12" s="718"/>
      <c r="V12" s="642">
        <f t="shared" si="4"/>
        <v>2</v>
      </c>
    </row>
    <row r="13" spans="1:22" ht="15.75" thickBot="1" x14ac:dyDescent="0.3">
      <c r="A13" s="651">
        <v>44328</v>
      </c>
      <c r="B13" s="657" t="str">
        <f t="shared" si="0"/>
        <v>St</v>
      </c>
      <c r="C13" s="748">
        <f t="shared" si="1"/>
        <v>0.41666666666666663</v>
      </c>
      <c r="D13" s="837">
        <f t="shared" si="2"/>
        <v>49.999999999999993</v>
      </c>
      <c r="E13" s="724">
        <v>0.35416666666666669</v>
      </c>
      <c r="F13" s="726">
        <f>TIME(0,30,0)</f>
        <v>2.0833333333333332E-2</v>
      </c>
      <c r="G13" s="727">
        <v>0.79166666666666663</v>
      </c>
      <c r="H13" s="876" t="s">
        <v>345</v>
      </c>
      <c r="I13" s="877" t="s">
        <v>346</v>
      </c>
      <c r="J13" s="654" t="s">
        <v>78</v>
      </c>
      <c r="K13" s="657" t="s">
        <v>351</v>
      </c>
      <c r="L13" s="654" t="s">
        <v>352</v>
      </c>
      <c r="M13" s="657">
        <v>3</v>
      </c>
      <c r="N13" s="714">
        <v>5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3</v>
      </c>
    </row>
    <row r="14" spans="1:22" ht="15.75" thickBot="1" x14ac:dyDescent="0.3">
      <c r="A14" s="651">
        <v>44329</v>
      </c>
      <c r="B14" s="657" t="str">
        <f t="shared" si="0"/>
        <v>Čt</v>
      </c>
      <c r="C14" s="748">
        <f t="shared" si="1"/>
        <v>0.47916666666666663</v>
      </c>
      <c r="D14" s="837">
        <f t="shared" si="2"/>
        <v>57.499999999999993</v>
      </c>
      <c r="E14" s="724">
        <v>0.29166666666666669</v>
      </c>
      <c r="F14" s="726">
        <f>TIME(0,30,0)</f>
        <v>2.0833333333333332E-2</v>
      </c>
      <c r="G14" s="727">
        <v>0.79166666666666663</v>
      </c>
      <c r="H14" s="654" t="s">
        <v>325</v>
      </c>
      <c r="I14" s="657" t="s">
        <v>318</v>
      </c>
      <c r="J14" s="654" t="s">
        <v>139</v>
      </c>
      <c r="K14" s="657" t="s">
        <v>362</v>
      </c>
      <c r="L14" s="654" t="s">
        <v>300</v>
      </c>
      <c r="M14" s="657">
        <v>3</v>
      </c>
      <c r="N14" s="714">
        <v>5</v>
      </c>
      <c r="O14" s="738">
        <f>(O16*25.88)</f>
        <v>29766.9172</v>
      </c>
      <c r="P14" s="747">
        <f>(P16*25.88)</f>
        <v>29762</v>
      </c>
      <c r="Q14" s="923" t="s">
        <v>458</v>
      </c>
      <c r="R14" s="1004">
        <f>P14+P22-P18</f>
        <v>29762</v>
      </c>
      <c r="S14" s="1007"/>
      <c r="T14" s="923" t="s">
        <v>456</v>
      </c>
      <c r="U14" s="1004">
        <f>P14+P22</f>
        <v>29762</v>
      </c>
      <c r="V14" s="642">
        <f t="shared" si="4"/>
        <v>4</v>
      </c>
    </row>
    <row r="15" spans="1:22" ht="15.75" thickBot="1" x14ac:dyDescent="0.3">
      <c r="A15" s="651">
        <v>44330</v>
      </c>
      <c r="B15" s="657" t="str">
        <f t="shared" si="0"/>
        <v>Pá</v>
      </c>
      <c r="C15" s="748">
        <f t="shared" si="1"/>
        <v>0.47916666666666663</v>
      </c>
      <c r="D15" s="837">
        <f t="shared" si="2"/>
        <v>57.499999999999993</v>
      </c>
      <c r="E15" s="724">
        <v>0.29166666666666669</v>
      </c>
      <c r="F15" s="726">
        <f>TIME(0,30,0)</f>
        <v>2.0833333333333332E-2</v>
      </c>
      <c r="G15" s="727">
        <v>0.79166666666666663</v>
      </c>
      <c r="H15" s="654" t="s">
        <v>325</v>
      </c>
      <c r="I15" s="657" t="s">
        <v>318</v>
      </c>
      <c r="J15" s="654" t="s">
        <v>139</v>
      </c>
      <c r="K15" s="657" t="s">
        <v>362</v>
      </c>
      <c r="L15" s="654" t="s">
        <v>300</v>
      </c>
      <c r="M15" s="657">
        <v>3</v>
      </c>
      <c r="N15" s="714">
        <v>5</v>
      </c>
      <c r="O15" s="711" t="s">
        <v>29</v>
      </c>
      <c r="P15" s="646" t="s">
        <v>29</v>
      </c>
      <c r="Q15" s="1001" t="s">
        <v>459</v>
      </c>
      <c r="R15" s="1002">
        <f>P10</f>
        <v>102790</v>
      </c>
      <c r="S15" s="1008"/>
      <c r="T15" s="1001" t="s">
        <v>457</v>
      </c>
      <c r="U15" s="1002">
        <f>P10+P18+P20</f>
        <v>102790</v>
      </c>
      <c r="V15" s="642">
        <f t="shared" si="4"/>
        <v>5</v>
      </c>
    </row>
    <row r="16" spans="1:22" ht="15.75" thickBot="1" x14ac:dyDescent="0.3">
      <c r="A16" s="651">
        <v>44331</v>
      </c>
      <c r="B16" s="657" t="str">
        <f t="shared" si="0"/>
        <v>So</v>
      </c>
      <c r="C16" s="748">
        <f t="shared" si="1"/>
        <v>8.3333333333333259E-2</v>
      </c>
      <c r="D16" s="837">
        <f t="shared" si="2"/>
        <v>9.9999999999999911</v>
      </c>
      <c r="E16" s="724">
        <v>0.70833333333333337</v>
      </c>
      <c r="F16" s="726"/>
      <c r="G16" s="727">
        <v>0.79166666666666663</v>
      </c>
      <c r="H16" s="654" t="s">
        <v>27</v>
      </c>
      <c r="I16" s="657"/>
      <c r="J16" s="654" t="s">
        <v>387</v>
      </c>
      <c r="K16" s="657" t="s">
        <v>27</v>
      </c>
      <c r="L16" s="654" t="s">
        <v>300</v>
      </c>
      <c r="M16" s="657">
        <v>3</v>
      </c>
      <c r="N16" s="714">
        <v>5</v>
      </c>
      <c r="O16" s="893">
        <f>'03cash21'!O3</f>
        <v>1150.19</v>
      </c>
      <c r="P16" s="894">
        <v>1150</v>
      </c>
      <c r="Q16" s="1001"/>
      <c r="R16" s="1003">
        <f>R15-R14</f>
        <v>73028</v>
      </c>
      <c r="S16" s="1008"/>
      <c r="T16" s="1001"/>
      <c r="U16" s="1002">
        <f>U15-U14</f>
        <v>73028</v>
      </c>
      <c r="V16" s="642">
        <f t="shared" si="4"/>
        <v>6</v>
      </c>
    </row>
    <row r="17" spans="1:22" ht="15.75" thickBot="1" x14ac:dyDescent="0.3">
      <c r="A17" s="904">
        <v>44332</v>
      </c>
      <c r="B17" s="905" t="str">
        <f t="shared" si="0"/>
        <v>Ne</v>
      </c>
      <c r="C17" s="906">
        <f t="shared" si="1"/>
        <v>0.43749999999999994</v>
      </c>
      <c r="D17" s="907">
        <f t="shared" si="2"/>
        <v>52.499999999999986</v>
      </c>
      <c r="E17" s="908">
        <v>0.3125</v>
      </c>
      <c r="F17" s="909">
        <f t="shared" ref="F17:F23" si="5">TIME(1,0,0)</f>
        <v>4.1666666666666664E-2</v>
      </c>
      <c r="G17" s="910">
        <v>0.79166666666666663</v>
      </c>
      <c r="H17" s="911"/>
      <c r="I17" s="905"/>
      <c r="J17" s="911" t="s">
        <v>337</v>
      </c>
      <c r="K17" s="905" t="s">
        <v>389</v>
      </c>
      <c r="L17" s="911" t="s">
        <v>390</v>
      </c>
      <c r="M17" s="905">
        <v>3</v>
      </c>
      <c r="N17" s="912">
        <v>5</v>
      </c>
      <c r="O17" s="711" t="s">
        <v>31</v>
      </c>
      <c r="P17" s="646" t="s">
        <v>31</v>
      </c>
      <c r="Q17" s="1002">
        <f>R16-Q5</f>
        <v>63975</v>
      </c>
      <c r="R17" s="1001"/>
      <c r="S17" s="1009"/>
      <c r="T17" s="1002">
        <f>U16-Q5</f>
        <v>63975</v>
      </c>
      <c r="U17" s="1001"/>
      <c r="V17" s="642">
        <f t="shared" si="4"/>
        <v>7</v>
      </c>
    </row>
    <row r="18" spans="1:22" ht="15.75" thickBot="1" x14ac:dyDescent="0.3">
      <c r="A18" s="913">
        <v>44333</v>
      </c>
      <c r="B18" s="721" t="str">
        <f t="shared" si="0"/>
        <v>Po</v>
      </c>
      <c r="C18" s="914">
        <f t="shared" si="1"/>
        <v>0.45833333333333326</v>
      </c>
      <c r="D18" s="915">
        <f t="shared" si="2"/>
        <v>54.999999999999986</v>
      </c>
      <c r="E18" s="916">
        <v>0.29166666666666669</v>
      </c>
      <c r="F18" s="917">
        <f t="shared" si="5"/>
        <v>4.1666666666666664E-2</v>
      </c>
      <c r="G18" s="917">
        <v>0.79166666666666663</v>
      </c>
      <c r="H18" s="918"/>
      <c r="I18" s="721"/>
      <c r="J18" s="918" t="s">
        <v>337</v>
      </c>
      <c r="K18" s="721" t="s">
        <v>391</v>
      </c>
      <c r="L18" s="918" t="s">
        <v>390</v>
      </c>
      <c r="M18" s="721">
        <v>3</v>
      </c>
      <c r="N18" s="919">
        <v>5</v>
      </c>
      <c r="O18" s="738">
        <v>0</v>
      </c>
      <c r="P18" s="747">
        <v>0</v>
      </c>
      <c r="Q18" s="1001"/>
      <c r="R18" s="1001"/>
      <c r="S18" s="1008"/>
      <c r="T18" s="1001"/>
      <c r="U18" s="1001"/>
      <c r="V18" s="642">
        <f t="shared" si="4"/>
        <v>1</v>
      </c>
    </row>
    <row r="19" spans="1:22" ht="15.75" thickBot="1" x14ac:dyDescent="0.3">
      <c r="A19" s="651">
        <v>44334</v>
      </c>
      <c r="B19" s="657" t="str">
        <f t="shared" si="0"/>
        <v>Út</v>
      </c>
      <c r="C19" s="748">
        <f t="shared" si="1"/>
        <v>0.45833333333333326</v>
      </c>
      <c r="D19" s="837">
        <f t="shared" si="2"/>
        <v>54.999999999999986</v>
      </c>
      <c r="E19" s="724">
        <v>0.29166666666666669</v>
      </c>
      <c r="F19" s="726">
        <f t="shared" si="5"/>
        <v>4.1666666666666664E-2</v>
      </c>
      <c r="G19" s="727">
        <v>0.79166666666666663</v>
      </c>
      <c r="H19" s="654"/>
      <c r="I19" s="657"/>
      <c r="J19" s="654" t="s">
        <v>337</v>
      </c>
      <c r="K19" s="657" t="s">
        <v>391</v>
      </c>
      <c r="L19" s="654" t="s">
        <v>390</v>
      </c>
      <c r="M19" s="657">
        <v>3</v>
      </c>
      <c r="N19" s="714">
        <v>5</v>
      </c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4"/>
        <v>2</v>
      </c>
    </row>
    <row r="20" spans="1:22" ht="15.75" thickBot="1" x14ac:dyDescent="0.3">
      <c r="A20" s="651">
        <v>44335</v>
      </c>
      <c r="B20" s="657" t="str">
        <f t="shared" si="0"/>
        <v>St</v>
      </c>
      <c r="C20" s="748">
        <f t="shared" si="1"/>
        <v>0.41666666666666663</v>
      </c>
      <c r="D20" s="837">
        <f t="shared" si="2"/>
        <v>49.999999999999993</v>
      </c>
      <c r="E20" s="724">
        <v>0.29166666666666669</v>
      </c>
      <c r="F20" s="726">
        <f t="shared" si="5"/>
        <v>4.1666666666666664E-2</v>
      </c>
      <c r="G20" s="727">
        <v>0.75</v>
      </c>
      <c r="H20" s="654"/>
      <c r="I20" s="657"/>
      <c r="J20" s="654" t="s">
        <v>337</v>
      </c>
      <c r="K20" s="657" t="s">
        <v>391</v>
      </c>
      <c r="L20" s="654" t="s">
        <v>390</v>
      </c>
      <c r="M20" s="657">
        <v>3</v>
      </c>
      <c r="N20" s="714">
        <v>5</v>
      </c>
      <c r="O20" s="738">
        <v>0</v>
      </c>
      <c r="P20" s="747">
        <v>0</v>
      </c>
      <c r="Q20" s="1001"/>
      <c r="R20" s="1001"/>
      <c r="S20" s="1008"/>
      <c r="T20" s="1001"/>
      <c r="U20" s="1001"/>
      <c r="V20" s="642">
        <f t="shared" si="4"/>
        <v>3</v>
      </c>
    </row>
    <row r="21" spans="1:22" ht="15.75" thickBot="1" x14ac:dyDescent="0.3">
      <c r="A21" s="651">
        <v>44336</v>
      </c>
      <c r="B21" s="657" t="str">
        <f t="shared" si="0"/>
        <v>Čt</v>
      </c>
      <c r="C21" s="748">
        <f t="shared" si="1"/>
        <v>0.41666666666666663</v>
      </c>
      <c r="D21" s="837">
        <f t="shared" si="2"/>
        <v>49.999999999999993</v>
      </c>
      <c r="E21" s="724">
        <v>0.29166666666666669</v>
      </c>
      <c r="F21" s="726">
        <f t="shared" si="5"/>
        <v>4.1666666666666664E-2</v>
      </c>
      <c r="G21" s="727">
        <v>0.75</v>
      </c>
      <c r="H21" s="654"/>
      <c r="I21" s="657"/>
      <c r="J21" s="654" t="s">
        <v>337</v>
      </c>
      <c r="K21" s="657"/>
      <c r="L21" s="654" t="s">
        <v>390</v>
      </c>
      <c r="M21" s="657">
        <v>3</v>
      </c>
      <c r="N21" s="714">
        <v>5</v>
      </c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4"/>
        <v>4</v>
      </c>
    </row>
    <row r="22" spans="1:22" ht="15.75" thickBot="1" x14ac:dyDescent="0.3">
      <c r="A22" s="651">
        <v>44337</v>
      </c>
      <c r="B22" s="657" t="str">
        <f t="shared" si="0"/>
        <v>Pá</v>
      </c>
      <c r="C22" s="748">
        <f t="shared" si="1"/>
        <v>0.41666666666666663</v>
      </c>
      <c r="D22" s="837">
        <f t="shared" si="2"/>
        <v>49.999999999999993</v>
      </c>
      <c r="E22" s="724">
        <v>0.29166666666666669</v>
      </c>
      <c r="F22" s="726">
        <f t="shared" si="5"/>
        <v>4.1666666666666664E-2</v>
      </c>
      <c r="G22" s="727">
        <v>0.75</v>
      </c>
      <c r="H22" s="654"/>
      <c r="I22" s="657"/>
      <c r="J22" s="654"/>
      <c r="K22" s="657"/>
      <c r="L22" s="654" t="s">
        <v>390</v>
      </c>
      <c r="M22" s="657"/>
      <c r="N22" s="714">
        <v>5</v>
      </c>
      <c r="O22" s="738">
        <v>0</v>
      </c>
      <c r="P22" s="747">
        <v>0</v>
      </c>
      <c r="Q22" s="1001"/>
      <c r="R22" s="1015">
        <f>Q17-Q24</f>
        <v>63975</v>
      </c>
      <c r="S22" s="1016">
        <f>T17-Q24</f>
        <v>63975</v>
      </c>
      <c r="T22" s="1001"/>
      <c r="U22" s="1001"/>
      <c r="V22" s="642">
        <f t="shared" si="4"/>
        <v>5</v>
      </c>
    </row>
    <row r="23" spans="1:22" ht="15.75" thickBot="1" x14ac:dyDescent="0.3">
      <c r="A23" s="651">
        <v>44338</v>
      </c>
      <c r="B23" s="657" t="str">
        <f t="shared" si="0"/>
        <v>So</v>
      </c>
      <c r="C23" s="748">
        <f t="shared" si="1"/>
        <v>0.25</v>
      </c>
      <c r="D23" s="837">
        <f t="shared" si="2"/>
        <v>24</v>
      </c>
      <c r="E23" s="724">
        <v>0.33333333333333331</v>
      </c>
      <c r="F23" s="726">
        <f t="shared" si="5"/>
        <v>4.1666666666666664E-2</v>
      </c>
      <c r="G23" s="727">
        <v>0.625</v>
      </c>
      <c r="H23" s="654"/>
      <c r="I23" s="657"/>
      <c r="J23" s="654"/>
      <c r="K23" s="657"/>
      <c r="L23" s="654" t="s">
        <v>390</v>
      </c>
      <c r="M23" s="657"/>
      <c r="N23" s="714">
        <v>4</v>
      </c>
      <c r="O23" s="897" t="s">
        <v>364</v>
      </c>
      <c r="P23" s="895" t="s">
        <v>363</v>
      </c>
      <c r="Q23" s="1011" t="s">
        <v>460</v>
      </c>
      <c r="R23" s="1001"/>
      <c r="S23" s="1008"/>
      <c r="T23" s="1001"/>
      <c r="U23" s="1001"/>
      <c r="V23" s="642">
        <f t="shared" si="4"/>
        <v>6</v>
      </c>
    </row>
    <row r="24" spans="1:22" ht="15.75" thickBot="1" x14ac:dyDescent="0.3">
      <c r="A24" s="904">
        <v>44339</v>
      </c>
      <c r="B24" s="905" t="str">
        <f t="shared" si="0"/>
        <v>Ne</v>
      </c>
      <c r="C24" s="906">
        <f t="shared" si="1"/>
        <v>2.0833333333333315E-2</v>
      </c>
      <c r="D24" s="907">
        <f t="shared" si="2"/>
        <v>2.4999999999999978</v>
      </c>
      <c r="E24" s="908">
        <v>0.29166666666666669</v>
      </c>
      <c r="F24" s="909"/>
      <c r="G24" s="910">
        <v>0.3125</v>
      </c>
      <c r="H24" s="911" t="s">
        <v>344</v>
      </c>
      <c r="I24" s="905"/>
      <c r="J24" s="911"/>
      <c r="K24" s="905"/>
      <c r="L24" s="911" t="s">
        <v>300</v>
      </c>
      <c r="M24" s="905"/>
      <c r="N24" s="912">
        <v>5</v>
      </c>
      <c r="O24" s="898">
        <f>P12-Q5</f>
        <v>63975</v>
      </c>
      <c r="P24" s="747">
        <f>O26-O28</f>
        <v>0</v>
      </c>
      <c r="Q24" s="1012">
        <f>O26-O28</f>
        <v>0</v>
      </c>
      <c r="R24" s="1006"/>
      <c r="S24" s="1010"/>
      <c r="T24" s="1006"/>
      <c r="U24" s="1006"/>
      <c r="V24" s="642">
        <f t="shared" si="4"/>
        <v>7</v>
      </c>
    </row>
    <row r="25" spans="1:22" ht="15.75" thickBot="1" x14ac:dyDescent="0.3">
      <c r="A25" s="913">
        <v>44340</v>
      </c>
      <c r="B25" s="721" t="str">
        <f t="shared" si="0"/>
        <v>Po</v>
      </c>
      <c r="C25" s="914">
        <f t="shared" si="1"/>
        <v>0</v>
      </c>
      <c r="D25" s="915">
        <f t="shared" si="2"/>
        <v>0</v>
      </c>
      <c r="E25" s="916"/>
      <c r="F25" s="917"/>
      <c r="G25" s="917"/>
      <c r="H25" s="918"/>
      <c r="I25" s="721"/>
      <c r="J25" s="918"/>
      <c r="K25" s="721"/>
      <c r="L25" s="918" t="s">
        <v>300</v>
      </c>
      <c r="M25" s="721"/>
      <c r="N25" s="919">
        <v>5</v>
      </c>
      <c r="O25" s="711" t="s">
        <v>370</v>
      </c>
      <c r="P25" s="646"/>
      <c r="Q25" s="718"/>
      <c r="R25" s="718"/>
      <c r="S25" s="718"/>
      <c r="T25" s="718"/>
      <c r="U25" s="718"/>
      <c r="V25" s="642">
        <f t="shared" si="4"/>
        <v>1</v>
      </c>
    </row>
    <row r="26" spans="1:22" ht="15.75" thickBot="1" x14ac:dyDescent="0.3">
      <c r="A26" s="651">
        <v>44341</v>
      </c>
      <c r="B26" s="657" t="str">
        <f t="shared" si="0"/>
        <v>Út</v>
      </c>
      <c r="C26" s="748">
        <f t="shared" si="1"/>
        <v>0.45833333333333326</v>
      </c>
      <c r="D26" s="837">
        <f t="shared" si="2"/>
        <v>54.999999999999986</v>
      </c>
      <c r="E26" s="724">
        <v>0.29166666666666669</v>
      </c>
      <c r="F26" s="726">
        <f>TIME(1,0,0)</f>
        <v>4.1666666666666664E-2</v>
      </c>
      <c r="G26" s="727">
        <v>0.79166666666666663</v>
      </c>
      <c r="H26" s="654"/>
      <c r="I26" s="657"/>
      <c r="J26" s="654"/>
      <c r="K26" s="657"/>
      <c r="L26" s="654" t="s">
        <v>300</v>
      </c>
      <c r="M26" s="657"/>
      <c r="N26" s="714">
        <v>5</v>
      </c>
      <c r="O26" s="898">
        <v>77614</v>
      </c>
      <c r="P26" s="747"/>
      <c r="Q26" s="718"/>
      <c r="R26" s="718"/>
      <c r="S26" s="718"/>
      <c r="T26" s="718"/>
      <c r="U26" s="718"/>
      <c r="V26" s="642">
        <f t="shared" si="4"/>
        <v>2</v>
      </c>
    </row>
    <row r="27" spans="1:22" ht="15.75" thickBot="1" x14ac:dyDescent="0.3">
      <c r="A27" s="651">
        <v>44342</v>
      </c>
      <c r="B27" s="657" t="str">
        <f t="shared" si="0"/>
        <v>St</v>
      </c>
      <c r="C27" s="748">
        <f t="shared" si="1"/>
        <v>0.47916666666666663</v>
      </c>
      <c r="D27" s="837">
        <f t="shared" si="2"/>
        <v>57.499999999999993</v>
      </c>
      <c r="E27" s="724">
        <v>0.29166666666666669</v>
      </c>
      <c r="F27" s="726">
        <f t="shared" ref="F27:F32" si="6">TIME(0,30,0)</f>
        <v>2.0833333333333332E-2</v>
      </c>
      <c r="G27" s="727">
        <v>0.79166666666666663</v>
      </c>
      <c r="H27" s="654"/>
      <c r="I27" s="657"/>
      <c r="J27" s="654"/>
      <c r="K27" s="657"/>
      <c r="L27" s="654" t="s">
        <v>300</v>
      </c>
      <c r="M27" s="657"/>
      <c r="N27" s="714">
        <v>5</v>
      </c>
      <c r="O27" s="711" t="s">
        <v>369</v>
      </c>
      <c r="P27" s="646"/>
      <c r="Q27" s="718"/>
      <c r="R27" s="718"/>
      <c r="S27" s="718"/>
      <c r="T27" s="718"/>
      <c r="U27" s="718"/>
      <c r="V27" s="642">
        <f t="shared" si="4"/>
        <v>3</v>
      </c>
    </row>
    <row r="28" spans="1:22" ht="15.75" thickBot="1" x14ac:dyDescent="0.3">
      <c r="A28" s="651">
        <v>44343</v>
      </c>
      <c r="B28" s="657" t="str">
        <f t="shared" si="0"/>
        <v>Čt</v>
      </c>
      <c r="C28" s="748">
        <f t="shared" si="1"/>
        <v>0.47916666666666663</v>
      </c>
      <c r="D28" s="837">
        <f t="shared" si="2"/>
        <v>57.499999999999993</v>
      </c>
      <c r="E28" s="724">
        <v>0.29166666666666669</v>
      </c>
      <c r="F28" s="726">
        <f t="shared" si="6"/>
        <v>2.0833333333333332E-2</v>
      </c>
      <c r="G28" s="727">
        <v>0.79166666666666663</v>
      </c>
      <c r="H28" s="654"/>
      <c r="I28" s="657"/>
      <c r="J28" s="654"/>
      <c r="K28" s="657"/>
      <c r="L28" s="654" t="s">
        <v>300</v>
      </c>
      <c r="M28" s="657"/>
      <c r="N28" s="714">
        <v>5</v>
      </c>
      <c r="O28" s="738">
        <f>'04hod21'!O26</f>
        <v>77614</v>
      </c>
      <c r="P28" s="646"/>
      <c r="Q28" s="718"/>
      <c r="R28" s="718"/>
      <c r="S28" s="718"/>
      <c r="T28" s="718"/>
      <c r="U28" s="718"/>
      <c r="V28" s="642">
        <f t="shared" si="4"/>
        <v>4</v>
      </c>
    </row>
    <row r="29" spans="1:22" ht="15.75" thickBot="1" x14ac:dyDescent="0.3">
      <c r="A29" s="651">
        <v>44344</v>
      </c>
      <c r="B29" s="657" t="str">
        <f t="shared" si="0"/>
        <v>Pá</v>
      </c>
      <c r="C29" s="748">
        <f t="shared" si="1"/>
        <v>0.47916666666666663</v>
      </c>
      <c r="D29" s="837">
        <f t="shared" si="2"/>
        <v>57.499999999999993</v>
      </c>
      <c r="E29" s="724">
        <v>0.29166666666666669</v>
      </c>
      <c r="F29" s="726">
        <f t="shared" si="6"/>
        <v>2.0833333333333332E-2</v>
      </c>
      <c r="G29" s="727">
        <v>0.79166666666666663</v>
      </c>
      <c r="H29" s="654"/>
      <c r="I29" s="657"/>
      <c r="J29" s="654"/>
      <c r="K29" s="657"/>
      <c r="L29" s="654" t="s">
        <v>300</v>
      </c>
      <c r="M29" s="657"/>
      <c r="N29" s="714">
        <v>5</v>
      </c>
      <c r="O29" s="712"/>
      <c r="P29" s="648"/>
      <c r="Q29" s="718"/>
      <c r="R29" s="718"/>
      <c r="S29" s="718"/>
      <c r="T29" s="718"/>
      <c r="U29" s="718"/>
      <c r="V29" s="642">
        <f t="shared" si="4"/>
        <v>5</v>
      </c>
    </row>
    <row r="30" spans="1:22" ht="15.75" thickBot="1" x14ac:dyDescent="0.3">
      <c r="A30" s="651">
        <v>44345</v>
      </c>
      <c r="B30" s="657" t="str">
        <f t="shared" si="0"/>
        <v>So</v>
      </c>
      <c r="C30" s="748">
        <f t="shared" si="1"/>
        <v>0.39583333333333337</v>
      </c>
      <c r="D30" s="837">
        <f t="shared" si="2"/>
        <v>47.500000000000007</v>
      </c>
      <c r="E30" s="724">
        <v>0.29166666666666669</v>
      </c>
      <c r="F30" s="726">
        <f t="shared" si="6"/>
        <v>2.0833333333333332E-2</v>
      </c>
      <c r="G30" s="727">
        <v>0.70833333333333337</v>
      </c>
      <c r="H30" s="654"/>
      <c r="I30" s="657"/>
      <c r="J30" s="654"/>
      <c r="K30" s="657"/>
      <c r="L30" s="654" t="s">
        <v>300</v>
      </c>
      <c r="M30" s="657"/>
      <c r="N30" s="708">
        <v>5</v>
      </c>
      <c r="O30" s="715"/>
      <c r="P30" s="720"/>
      <c r="Q30" s="718"/>
      <c r="R30" s="718"/>
      <c r="S30" s="718"/>
      <c r="T30" s="718"/>
      <c r="U30" s="718"/>
      <c r="V30" s="642">
        <f t="shared" si="4"/>
        <v>6</v>
      </c>
    </row>
    <row r="31" spans="1:22" ht="15.75" thickBot="1" x14ac:dyDescent="0.3">
      <c r="A31" s="904">
        <v>44346</v>
      </c>
      <c r="B31" s="905" t="str">
        <f t="shared" si="0"/>
        <v>Ne</v>
      </c>
      <c r="C31" s="906">
        <f t="shared" si="1"/>
        <v>0.47916666666666669</v>
      </c>
      <c r="D31" s="907">
        <f t="shared" si="2"/>
        <v>57.5</v>
      </c>
      <c r="E31" s="908">
        <v>0.33333333333333331</v>
      </c>
      <c r="F31" s="909">
        <f t="shared" si="6"/>
        <v>2.0833333333333332E-2</v>
      </c>
      <c r="G31" s="910">
        <v>0.83333333333333337</v>
      </c>
      <c r="H31" s="911"/>
      <c r="I31" s="905"/>
      <c r="J31" s="911"/>
      <c r="K31" s="905"/>
      <c r="L31" s="911" t="s">
        <v>300</v>
      </c>
      <c r="M31" s="905"/>
      <c r="N31" s="921">
        <v>5</v>
      </c>
      <c r="O31" s="649"/>
      <c r="P31" s="646"/>
      <c r="Q31" s="718"/>
      <c r="R31" s="718"/>
      <c r="S31" s="718"/>
      <c r="T31" s="718"/>
      <c r="U31" s="718"/>
      <c r="V31" s="642">
        <f t="shared" si="4"/>
        <v>7</v>
      </c>
    </row>
    <row r="32" spans="1:22" ht="15.75" thickBot="1" x14ac:dyDescent="0.3">
      <c r="A32" s="913">
        <v>44347</v>
      </c>
      <c r="B32" s="721" t="str">
        <f t="shared" si="0"/>
        <v>Po</v>
      </c>
      <c r="C32" s="914">
        <f t="shared" si="1"/>
        <v>0.45833333333333331</v>
      </c>
      <c r="D32" s="915">
        <f t="shared" si="2"/>
        <v>55</v>
      </c>
      <c r="E32" s="916">
        <v>0.3125</v>
      </c>
      <c r="F32" s="917">
        <f t="shared" si="6"/>
        <v>2.0833333333333332E-2</v>
      </c>
      <c r="G32" s="917">
        <v>0.79166666666666663</v>
      </c>
      <c r="H32" s="918"/>
      <c r="I32" s="721"/>
      <c r="J32" s="918"/>
      <c r="K32" s="721"/>
      <c r="L32" s="918" t="s">
        <v>300</v>
      </c>
      <c r="M32" s="721"/>
      <c r="N32" s="922">
        <v>5</v>
      </c>
      <c r="O32" s="649"/>
      <c r="P32" s="646"/>
      <c r="Q32" s="718"/>
      <c r="R32" s="718"/>
      <c r="S32" s="718"/>
      <c r="T32" s="718"/>
      <c r="U32" s="718"/>
      <c r="V32" s="642">
        <f t="shared" si="4"/>
        <v>1</v>
      </c>
    </row>
    <row r="33" spans="1:22" ht="15.75" thickBot="1" x14ac:dyDescent="0.3">
      <c r="A33" s="651">
        <v>44348</v>
      </c>
      <c r="B33" s="657" t="str">
        <f t="shared" si="0"/>
        <v>Út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/>
      <c r="I33" s="657"/>
      <c r="J33" s="654"/>
      <c r="K33" s="657"/>
      <c r="L33" s="654" t="s">
        <v>300</v>
      </c>
      <c r="M33" s="657"/>
      <c r="N33" s="708">
        <v>5</v>
      </c>
      <c r="O33" s="649"/>
      <c r="P33" s="646"/>
      <c r="Q33" s="718"/>
      <c r="R33" s="718"/>
      <c r="S33" s="718"/>
      <c r="T33" s="718"/>
      <c r="U33" s="718"/>
      <c r="V33" s="642">
        <f>WEEKDAY(A33,2)</f>
        <v>2</v>
      </c>
    </row>
    <row r="34" spans="1:22" ht="15.75" thickBot="1" x14ac:dyDescent="0.3">
      <c r="A34" s="651">
        <v>44349</v>
      </c>
      <c r="B34" s="657" t="str">
        <f t="shared" si="0"/>
        <v>St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/>
      <c r="I34" s="657"/>
      <c r="J34" s="654"/>
      <c r="K34" s="657"/>
      <c r="L34" s="654" t="s">
        <v>300</v>
      </c>
      <c r="M34" s="657"/>
      <c r="N34" s="708">
        <v>5</v>
      </c>
      <c r="O34" s="649"/>
      <c r="P34" s="646"/>
      <c r="Q34" s="718"/>
      <c r="R34" s="718"/>
      <c r="S34" s="718"/>
      <c r="T34" s="718"/>
      <c r="U34" s="718"/>
      <c r="V34" s="642">
        <f t="shared" ref="V34:V35" si="7">WEEKDAY(A34,2)</f>
        <v>3</v>
      </c>
    </row>
    <row r="35" spans="1:22" ht="15.75" thickBot="1" x14ac:dyDescent="0.3">
      <c r="A35" s="651">
        <v>44327</v>
      </c>
      <c r="B35" s="658" t="str">
        <f t="shared" si="0"/>
        <v>Út</v>
      </c>
      <c r="C35" s="748">
        <f t="shared" si="1"/>
        <v>0.41666666666666669</v>
      </c>
      <c r="D35" s="838">
        <f t="shared" si="2"/>
        <v>50</v>
      </c>
      <c r="E35" s="725">
        <v>0.29166666666666669</v>
      </c>
      <c r="F35" s="726"/>
      <c r="G35" s="728">
        <v>0.70833333333333337</v>
      </c>
      <c r="H35" s="654" t="s">
        <v>344</v>
      </c>
      <c r="I35" s="657"/>
      <c r="J35" s="654"/>
      <c r="K35" s="657"/>
      <c r="L35" s="654" t="s">
        <v>300</v>
      </c>
      <c r="M35" s="658"/>
      <c r="N35" s="709">
        <v>5</v>
      </c>
      <c r="O35" s="652"/>
      <c r="P35" s="648"/>
      <c r="Q35" s="718"/>
      <c r="R35" s="718"/>
      <c r="S35" s="718"/>
      <c r="T35" s="718"/>
      <c r="U35" s="718"/>
      <c r="V35" s="642">
        <f t="shared" si="7"/>
        <v>2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SUM(Tabulka414256729[HOD])</f>
        <v>11.270833333333332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honeticPr fontId="30" alignment="center"/>
  <hyperlinks>
    <hyperlink ref="H4" r:id="rId1" display="jdu" xr:uid="{328A78AA-5EBC-6942-9178-37AD69DD891A}"/>
    <hyperlink ref="H13" r:id="rId2" xr:uid="{DF1B8168-1D88-CA4D-9FBD-662F5C002653}"/>
  </hyperlinks>
  <pageMargins left="0.7" right="0.7" top="0.75" bottom="0.75" header="0.3" footer="0.3"/>
  <drawing r:id="rId3"/>
  <tableParts count="1">
    <tablePart r:id="rId4"/>
  </tableParts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6FA06D-80A2-B540-A4C8-1426FBDEF4D0}">
  <dimension ref="A1:V45"/>
  <sheetViews>
    <sheetView topLeftCell="P1" zoomScaleNormal="60" zoomScaleSheetLayoutView="100" workbookViewId="0">
      <selection activeCell="K25" sqref="K25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0" bestFit="1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8554687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44348</v>
      </c>
      <c r="B2" s="656" t="str">
        <f t="shared" ref="B2:B35" si="0">CHOOSE(WEEKDAY(V2),"Po","Út","St","Čt","Pá","So","Ne")</f>
        <v>Út</v>
      </c>
      <c r="C2" s="748">
        <f t="shared" ref="C2:C35" si="1">G2-E2-F2</f>
        <v>0.45833333333333331</v>
      </c>
      <c r="D2" s="836">
        <f t="shared" ref="D2:D35" si="2">(N2*C2)*24</f>
        <v>55</v>
      </c>
      <c r="E2" s="723">
        <v>0.3125</v>
      </c>
      <c r="F2" s="726">
        <f>TIME(0,30,0)</f>
        <v>2.0833333333333332E-2</v>
      </c>
      <c r="G2" s="726">
        <v>0.79166666666666663</v>
      </c>
      <c r="H2" s="653"/>
      <c r="I2" s="656" t="s">
        <v>396</v>
      </c>
      <c r="J2" s="653"/>
      <c r="K2" s="656"/>
      <c r="L2" s="653"/>
      <c r="M2" s="656">
        <v>3</v>
      </c>
      <c r="N2" s="713">
        <v>5</v>
      </c>
      <c r="O2" s="834">
        <f>(O4+O6)</f>
        <v>91</v>
      </c>
      <c r="P2" s="716">
        <f t="shared" ref="P2" si="3">P4+P6</f>
        <v>86.5</v>
      </c>
      <c r="Q2" s="853">
        <v>9053</v>
      </c>
      <c r="R2" s="644" t="s">
        <v>17</v>
      </c>
      <c r="S2" s="644" t="s">
        <v>402</v>
      </c>
      <c r="T2" s="875">
        <v>44363</v>
      </c>
      <c r="U2" s="722">
        <f>T7*20</f>
        <v>0</v>
      </c>
      <c r="V2" s="642">
        <f t="shared" ref="V2:V32" si="4">WEEKDAY(A2,2)</f>
        <v>2</v>
      </c>
    </row>
    <row r="3" spans="1:22" ht="15.75" thickBot="1" x14ac:dyDescent="0.3">
      <c r="A3" s="651">
        <v>44349</v>
      </c>
      <c r="B3" s="657" t="str">
        <f t="shared" si="0"/>
        <v>St</v>
      </c>
      <c r="C3" s="748">
        <f t="shared" si="1"/>
        <v>0.47916666666666663</v>
      </c>
      <c r="D3" s="837">
        <f t="shared" si="2"/>
        <v>57.499999999999993</v>
      </c>
      <c r="E3" s="724">
        <v>0.29166666666666669</v>
      </c>
      <c r="F3" s="726">
        <f>TIME(0,30,0)</f>
        <v>2.0833333333333332E-2</v>
      </c>
      <c r="G3" s="727">
        <v>0.79166666666666663</v>
      </c>
      <c r="H3" s="654"/>
      <c r="I3" s="657" t="s">
        <v>396</v>
      </c>
      <c r="J3" s="654"/>
      <c r="K3" s="657"/>
      <c r="L3" s="654"/>
      <c r="M3" s="657">
        <v>3</v>
      </c>
      <c r="N3" s="714">
        <v>5</v>
      </c>
      <c r="O3" s="711" t="s">
        <v>19</v>
      </c>
      <c r="P3" s="717" t="s">
        <v>19</v>
      </c>
      <c r="Q3" s="738">
        <v>73177</v>
      </c>
      <c r="R3" s="611" t="s">
        <v>17</v>
      </c>
      <c r="S3" s="611" t="s">
        <v>428</v>
      </c>
      <c r="T3" s="874">
        <v>44368</v>
      </c>
      <c r="U3" s="718"/>
      <c r="V3" s="642">
        <f t="shared" si="4"/>
        <v>3</v>
      </c>
    </row>
    <row r="4" spans="1:22" ht="15.75" thickBot="1" x14ac:dyDescent="0.3">
      <c r="A4" s="651">
        <v>44350</v>
      </c>
      <c r="B4" s="657" t="str">
        <f t="shared" si="0"/>
        <v>Čt</v>
      </c>
      <c r="C4" s="748">
        <f t="shared" si="1"/>
        <v>8.3333333333333315E-2</v>
      </c>
      <c r="D4" s="837">
        <f t="shared" si="2"/>
        <v>9.9999999999999982</v>
      </c>
      <c r="E4" s="724">
        <v>0.29166666666666669</v>
      </c>
      <c r="F4" s="726"/>
      <c r="G4" s="727">
        <v>0.375</v>
      </c>
      <c r="H4" s="654"/>
      <c r="I4" s="657" t="s">
        <v>396</v>
      </c>
      <c r="J4" s="654"/>
      <c r="K4" s="657"/>
      <c r="L4" s="654"/>
      <c r="M4" s="657">
        <v>3</v>
      </c>
      <c r="N4" s="714">
        <v>5</v>
      </c>
      <c r="O4" s="835">
        <f>O40*24</f>
        <v>91</v>
      </c>
      <c r="P4" s="717">
        <v>86.5</v>
      </c>
      <c r="Q4" s="738">
        <v>30000</v>
      </c>
      <c r="R4" s="611" t="s">
        <v>17</v>
      </c>
      <c r="S4" s="611" t="s">
        <v>210</v>
      </c>
      <c r="T4" s="874">
        <v>44357</v>
      </c>
      <c r="U4" s="718"/>
      <c r="V4" s="642">
        <f t="shared" si="4"/>
        <v>4</v>
      </c>
    </row>
    <row r="5" spans="1:22" ht="15.75" thickBot="1" x14ac:dyDescent="0.3">
      <c r="A5" s="651">
        <v>44351</v>
      </c>
      <c r="B5" s="657" t="str">
        <f t="shared" si="0"/>
        <v>Pá</v>
      </c>
      <c r="C5" s="748">
        <f t="shared" si="1"/>
        <v>0</v>
      </c>
      <c r="D5" s="837">
        <f t="shared" si="2"/>
        <v>0</v>
      </c>
      <c r="E5" s="724"/>
      <c r="F5" s="726"/>
      <c r="G5" s="727"/>
      <c r="H5" s="654"/>
      <c r="I5" s="657"/>
      <c r="J5" s="654"/>
      <c r="K5" s="657"/>
      <c r="L5" s="654"/>
      <c r="M5" s="657" t="s">
        <v>16</v>
      </c>
      <c r="N5" s="714">
        <v>0</v>
      </c>
      <c r="O5" s="711" t="s">
        <v>14</v>
      </c>
      <c r="P5" s="717" t="s">
        <v>14</v>
      </c>
      <c r="Q5" s="738">
        <v>29084</v>
      </c>
      <c r="R5" s="611" t="s">
        <v>17</v>
      </c>
      <c r="S5" s="611" t="s">
        <v>403</v>
      </c>
      <c r="T5" s="874">
        <v>44393</v>
      </c>
      <c r="U5" s="718"/>
      <c r="V5" s="642">
        <f t="shared" si="4"/>
        <v>5</v>
      </c>
    </row>
    <row r="6" spans="1:22" ht="15.75" thickBot="1" x14ac:dyDescent="0.3">
      <c r="A6" s="651">
        <v>44352</v>
      </c>
      <c r="B6" s="657" t="str">
        <f t="shared" si="0"/>
        <v>So</v>
      </c>
      <c r="C6" s="748">
        <f t="shared" si="1"/>
        <v>0</v>
      </c>
      <c r="D6" s="837">
        <f t="shared" si="2"/>
        <v>0</v>
      </c>
      <c r="E6" s="724"/>
      <c r="F6" s="726"/>
      <c r="G6" s="727"/>
      <c r="H6" s="654"/>
      <c r="I6" s="657"/>
      <c r="J6" s="654"/>
      <c r="K6" s="657"/>
      <c r="L6" s="654"/>
      <c r="M6" s="657" t="s">
        <v>16</v>
      </c>
      <c r="N6" s="714">
        <v>0</v>
      </c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4"/>
        <v>6</v>
      </c>
    </row>
    <row r="7" spans="1:22" ht="15.75" thickBot="1" x14ac:dyDescent="0.3">
      <c r="A7" s="651">
        <v>44353</v>
      </c>
      <c r="B7" s="657" t="str">
        <f t="shared" si="0"/>
        <v>Ne</v>
      </c>
      <c r="C7" s="748">
        <f t="shared" si="1"/>
        <v>0</v>
      </c>
      <c r="D7" s="837">
        <f t="shared" si="2"/>
        <v>0</v>
      </c>
      <c r="E7" s="724"/>
      <c r="F7" s="726"/>
      <c r="G7" s="727"/>
      <c r="H7" s="654"/>
      <c r="I7" s="657"/>
      <c r="J7" s="654"/>
      <c r="K7" s="657"/>
      <c r="L7" s="654"/>
      <c r="M7" s="657" t="s">
        <v>16</v>
      </c>
      <c r="N7" s="714">
        <v>0</v>
      </c>
      <c r="O7" s="711" t="s">
        <v>20</v>
      </c>
      <c r="P7" s="646" t="s">
        <v>20</v>
      </c>
      <c r="Q7" s="721">
        <f>Q3+Q4</f>
        <v>103177</v>
      </c>
      <c r="R7" s="718"/>
      <c r="S7" s="718"/>
      <c r="T7" s="718"/>
      <c r="U7" s="718"/>
      <c r="V7" s="642">
        <f t="shared" si="4"/>
        <v>7</v>
      </c>
    </row>
    <row r="8" spans="1:22" ht="15.75" thickBot="1" x14ac:dyDescent="0.3">
      <c r="A8" s="651">
        <v>44354</v>
      </c>
      <c r="B8" s="657" t="str">
        <f t="shared" si="0"/>
        <v>Po</v>
      </c>
      <c r="C8" s="748">
        <f t="shared" si="1"/>
        <v>0</v>
      </c>
      <c r="D8" s="837">
        <f t="shared" si="2"/>
        <v>0</v>
      </c>
      <c r="E8" s="724"/>
      <c r="F8" s="726"/>
      <c r="G8" s="727"/>
      <c r="H8" s="654"/>
      <c r="I8" s="657"/>
      <c r="J8" s="654"/>
      <c r="K8" s="657"/>
      <c r="L8" s="654"/>
      <c r="M8" s="657" t="s">
        <v>16</v>
      </c>
      <c r="N8" s="714">
        <v>0</v>
      </c>
      <c r="O8" s="711" t="s">
        <v>22</v>
      </c>
      <c r="P8" s="646" t="s">
        <v>22</v>
      </c>
      <c r="Q8" s="657" t="s">
        <v>401</v>
      </c>
      <c r="R8" s="718"/>
      <c r="S8" s="718"/>
      <c r="T8" s="718"/>
      <c r="U8" s="718"/>
      <c r="V8" s="642">
        <f t="shared" si="4"/>
        <v>1</v>
      </c>
    </row>
    <row r="9" spans="1:22" ht="15.75" thickBot="1" x14ac:dyDescent="0.3">
      <c r="A9" s="651">
        <v>44355</v>
      </c>
      <c r="B9" s="657" t="str">
        <f t="shared" si="0"/>
        <v>Út</v>
      </c>
      <c r="C9" s="748">
        <f t="shared" si="1"/>
        <v>0</v>
      </c>
      <c r="D9" s="837">
        <f t="shared" si="2"/>
        <v>0</v>
      </c>
      <c r="E9" s="724"/>
      <c r="F9" s="726"/>
      <c r="G9" s="727"/>
      <c r="H9" s="654"/>
      <c r="I9" s="657"/>
      <c r="J9" s="654"/>
      <c r="K9" s="657"/>
      <c r="L9" s="654"/>
      <c r="M9" s="657" t="s">
        <v>16</v>
      </c>
      <c r="N9" s="714">
        <v>0</v>
      </c>
      <c r="O9" s="711" t="s">
        <v>23</v>
      </c>
      <c r="P9" s="646" t="s">
        <v>23</v>
      </c>
      <c r="Q9" s="657">
        <f>SUM(Q2:Q4)</f>
        <v>112230</v>
      </c>
      <c r="R9" s="718"/>
      <c r="S9" s="718"/>
      <c r="T9" s="718"/>
      <c r="U9" s="718"/>
      <c r="V9" s="642">
        <f t="shared" si="4"/>
        <v>2</v>
      </c>
    </row>
    <row r="10" spans="1:22" ht="15.75" thickBot="1" x14ac:dyDescent="0.3">
      <c r="A10" s="651">
        <v>44356</v>
      </c>
      <c r="B10" s="657" t="str">
        <f t="shared" si="0"/>
        <v>St</v>
      </c>
      <c r="C10" s="748">
        <f t="shared" si="1"/>
        <v>0</v>
      </c>
      <c r="D10" s="837">
        <f t="shared" si="2"/>
        <v>0</v>
      </c>
      <c r="E10" s="724"/>
      <c r="F10" s="726"/>
      <c r="G10" s="727"/>
      <c r="H10" s="654"/>
      <c r="I10" s="657"/>
      <c r="J10" s="654"/>
      <c r="K10" s="657"/>
      <c r="L10" s="654"/>
      <c r="M10" s="657" t="s">
        <v>16</v>
      </c>
      <c r="N10" s="714">
        <v>0</v>
      </c>
      <c r="O10" s="738">
        <f>(O2*380)+U2</f>
        <v>34580</v>
      </c>
      <c r="P10" s="747">
        <f>SUM(P2*380)</f>
        <v>32870</v>
      </c>
      <c r="Q10" s="719"/>
      <c r="R10" s="718"/>
      <c r="S10" s="718"/>
      <c r="T10" s="718"/>
      <c r="U10" s="718"/>
      <c r="V10" s="642">
        <f t="shared" si="4"/>
        <v>3</v>
      </c>
    </row>
    <row r="11" spans="1:22" ht="15.75" thickBot="1" x14ac:dyDescent="0.3">
      <c r="A11" s="651">
        <v>44357</v>
      </c>
      <c r="B11" s="657" t="str">
        <f t="shared" si="0"/>
        <v>Čt</v>
      </c>
      <c r="C11" s="748">
        <f t="shared" si="1"/>
        <v>0</v>
      </c>
      <c r="D11" s="837">
        <f t="shared" si="2"/>
        <v>0</v>
      </c>
      <c r="E11" s="724"/>
      <c r="F11" s="726"/>
      <c r="G11" s="727"/>
      <c r="H11" s="654"/>
      <c r="I11" s="657"/>
      <c r="J11" s="654"/>
      <c r="K11" s="657"/>
      <c r="L11" s="654"/>
      <c r="M11" s="657" t="s">
        <v>16</v>
      </c>
      <c r="N11" s="714">
        <v>0</v>
      </c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4"/>
        <v>4</v>
      </c>
    </row>
    <row r="12" spans="1:22" ht="15.75" thickBot="1" x14ac:dyDescent="0.3">
      <c r="A12" s="651">
        <v>44358</v>
      </c>
      <c r="B12" s="657" t="str">
        <f t="shared" si="0"/>
        <v>Pá</v>
      </c>
      <c r="C12" s="748">
        <f t="shared" si="1"/>
        <v>0</v>
      </c>
      <c r="D12" s="837">
        <f t="shared" si="2"/>
        <v>0</v>
      </c>
      <c r="E12" s="724"/>
      <c r="F12" s="726"/>
      <c r="G12" s="727"/>
      <c r="H12" s="654"/>
      <c r="I12" s="657"/>
      <c r="J12" s="654"/>
      <c r="K12" s="657"/>
      <c r="L12" s="654"/>
      <c r="M12" s="657" t="s">
        <v>16</v>
      </c>
      <c r="N12" s="714">
        <v>0</v>
      </c>
      <c r="O12" s="738">
        <f>(O10+O20+O18-O22)-O14-P24</f>
        <v>35678</v>
      </c>
      <c r="P12" s="747">
        <f>(P10+P18+P20-P22)-P14-P24</f>
        <v>33968</v>
      </c>
      <c r="Q12" s="718"/>
      <c r="R12" s="718"/>
      <c r="S12" s="718"/>
      <c r="T12" s="718"/>
      <c r="U12" s="718"/>
      <c r="V12" s="642">
        <f t="shared" si="4"/>
        <v>5</v>
      </c>
    </row>
    <row r="13" spans="1:22" ht="15.75" thickBot="1" x14ac:dyDescent="0.3">
      <c r="A13" s="651">
        <v>44359</v>
      </c>
      <c r="B13" s="657" t="str">
        <f t="shared" si="0"/>
        <v>So</v>
      </c>
      <c r="C13" s="748">
        <f t="shared" si="1"/>
        <v>0</v>
      </c>
      <c r="D13" s="837">
        <f t="shared" si="2"/>
        <v>0</v>
      </c>
      <c r="E13" s="724"/>
      <c r="F13" s="726"/>
      <c r="G13" s="727"/>
      <c r="H13" s="654"/>
      <c r="I13" s="657"/>
      <c r="J13" s="654"/>
      <c r="K13" s="657"/>
      <c r="L13" s="654"/>
      <c r="M13" s="657" t="s">
        <v>16</v>
      </c>
      <c r="N13" s="714">
        <v>0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6</v>
      </c>
    </row>
    <row r="14" spans="1:22" ht="15.75" thickBot="1" x14ac:dyDescent="0.3">
      <c r="A14" s="651">
        <v>44360</v>
      </c>
      <c r="B14" s="657" t="str">
        <f t="shared" si="0"/>
        <v>Ne</v>
      </c>
      <c r="C14" s="748">
        <f t="shared" si="1"/>
        <v>0</v>
      </c>
      <c r="D14" s="837">
        <f t="shared" si="2"/>
        <v>0</v>
      </c>
      <c r="E14" s="724"/>
      <c r="F14" s="726"/>
      <c r="G14" s="727"/>
      <c r="H14" s="654"/>
      <c r="I14" s="657"/>
      <c r="J14" s="654"/>
      <c r="K14" s="657"/>
      <c r="L14" s="654"/>
      <c r="M14" s="657" t="s">
        <v>16</v>
      </c>
      <c r="N14" s="714">
        <v>0</v>
      </c>
      <c r="O14" s="738">
        <f>(O16*25.48)</f>
        <v>0</v>
      </c>
      <c r="P14" s="747">
        <f>(P16*25.48)</f>
        <v>0</v>
      </c>
      <c r="Q14" s="1001" t="s">
        <v>454</v>
      </c>
      <c r="R14" s="1002">
        <f>P14+P22-P18</f>
        <v>-1098</v>
      </c>
      <c r="S14" s="1001"/>
      <c r="T14" s="1001" t="s">
        <v>456</v>
      </c>
      <c r="U14" s="1002">
        <f>P14+P22</f>
        <v>0</v>
      </c>
      <c r="V14" s="642">
        <f t="shared" si="4"/>
        <v>7</v>
      </c>
    </row>
    <row r="15" spans="1:22" ht="15.75" thickBot="1" x14ac:dyDescent="0.3">
      <c r="A15" s="651">
        <v>44361</v>
      </c>
      <c r="B15" s="657" t="str">
        <f t="shared" si="0"/>
        <v>Po</v>
      </c>
      <c r="C15" s="748">
        <f t="shared" si="1"/>
        <v>0.39583333333333331</v>
      </c>
      <c r="D15" s="837">
        <f t="shared" si="2"/>
        <v>0</v>
      </c>
      <c r="E15" s="724">
        <v>0.375</v>
      </c>
      <c r="F15" s="726">
        <f>TIME(0,30,0)</f>
        <v>2.0833333333333332E-2</v>
      </c>
      <c r="G15" s="727">
        <v>0.79166666666666663</v>
      </c>
      <c r="H15" s="654"/>
      <c r="I15" s="657"/>
      <c r="J15" s="654"/>
      <c r="K15" s="657"/>
      <c r="L15" s="654"/>
      <c r="M15" s="657" t="s">
        <v>16</v>
      </c>
      <c r="N15" s="714">
        <v>0</v>
      </c>
      <c r="O15" s="711" t="s">
        <v>29</v>
      </c>
      <c r="P15" s="646" t="s">
        <v>29</v>
      </c>
      <c r="Q15" s="1001" t="s">
        <v>455</v>
      </c>
      <c r="R15" s="1002">
        <f>P10</f>
        <v>32870</v>
      </c>
      <c r="S15" s="1001"/>
      <c r="T15" s="1001" t="s">
        <v>457</v>
      </c>
      <c r="U15" s="1002">
        <f>P10+P18+P20</f>
        <v>33968</v>
      </c>
      <c r="V15" s="642">
        <f t="shared" si="4"/>
        <v>1</v>
      </c>
    </row>
    <row r="16" spans="1:22" ht="15.75" thickBot="1" x14ac:dyDescent="0.3">
      <c r="A16" s="651">
        <v>44362</v>
      </c>
      <c r="B16" s="657" t="str">
        <f t="shared" si="0"/>
        <v>Út</v>
      </c>
      <c r="C16" s="748">
        <f t="shared" si="1"/>
        <v>0.4375</v>
      </c>
      <c r="D16" s="837">
        <f t="shared" si="2"/>
        <v>0</v>
      </c>
      <c r="E16" s="724">
        <v>0.33333333333333331</v>
      </c>
      <c r="F16" s="726">
        <f>TIME(0,30,0)</f>
        <v>2.0833333333333332E-2</v>
      </c>
      <c r="G16" s="727">
        <v>0.79166666666666663</v>
      </c>
      <c r="H16" s="654"/>
      <c r="I16" s="657"/>
      <c r="J16" s="654"/>
      <c r="K16" s="657"/>
      <c r="L16" s="654"/>
      <c r="M16" s="657" t="s">
        <v>16</v>
      </c>
      <c r="N16" s="714">
        <v>0</v>
      </c>
      <c r="O16" s="893">
        <f>'04cash21'!O35</f>
        <v>0</v>
      </c>
      <c r="P16" s="894">
        <v>0</v>
      </c>
      <c r="Q16" s="1001"/>
      <c r="R16" s="1003">
        <f>R15-R14</f>
        <v>33968</v>
      </c>
      <c r="S16" s="1001"/>
      <c r="T16" s="1001"/>
      <c r="U16" s="1002">
        <f>U15-U14</f>
        <v>33968</v>
      </c>
      <c r="V16" s="642">
        <f t="shared" si="4"/>
        <v>2</v>
      </c>
    </row>
    <row r="17" spans="1:22" ht="15.75" thickBot="1" x14ac:dyDescent="0.3">
      <c r="A17" s="651">
        <v>44363</v>
      </c>
      <c r="B17" s="657" t="str">
        <f t="shared" si="0"/>
        <v>St</v>
      </c>
      <c r="C17" s="748">
        <f t="shared" si="1"/>
        <v>0.4375</v>
      </c>
      <c r="D17" s="837">
        <f t="shared" si="2"/>
        <v>0</v>
      </c>
      <c r="E17" s="724">
        <v>0.33333333333333331</v>
      </c>
      <c r="F17" s="726">
        <f>TIME(0,30,0)</f>
        <v>2.0833333333333332E-2</v>
      </c>
      <c r="G17" s="727">
        <v>0.79166666666666663</v>
      </c>
      <c r="H17" s="654"/>
      <c r="I17" s="657"/>
      <c r="J17" s="654"/>
      <c r="K17" s="657"/>
      <c r="L17" s="654"/>
      <c r="M17" s="657" t="s">
        <v>16</v>
      </c>
      <c r="N17" s="714">
        <v>0</v>
      </c>
      <c r="O17" s="711" t="s">
        <v>31</v>
      </c>
      <c r="P17" s="646" t="s">
        <v>31</v>
      </c>
      <c r="Q17" s="1001"/>
      <c r="R17" s="1001"/>
      <c r="S17" s="1002">
        <f>R16-Q5-Q3</f>
        <v>-68293</v>
      </c>
      <c r="T17" s="1002">
        <f>U16-Q5-Q3</f>
        <v>-68293</v>
      </c>
      <c r="U17" s="1001"/>
      <c r="V17" s="642">
        <f t="shared" si="4"/>
        <v>3</v>
      </c>
    </row>
    <row r="18" spans="1:22" ht="15.75" thickBot="1" x14ac:dyDescent="0.3">
      <c r="A18" s="651">
        <v>44364</v>
      </c>
      <c r="B18" s="657" t="str">
        <f t="shared" si="0"/>
        <v>Čt</v>
      </c>
      <c r="C18" s="748">
        <f t="shared" si="1"/>
        <v>0.4375</v>
      </c>
      <c r="D18" s="837">
        <f t="shared" si="2"/>
        <v>0</v>
      </c>
      <c r="E18" s="724">
        <v>0.33333333333333331</v>
      </c>
      <c r="F18" s="726">
        <f>TIME(0,30,0)</f>
        <v>2.0833333333333332E-2</v>
      </c>
      <c r="G18" s="727">
        <v>0.79166666666666663</v>
      </c>
      <c r="H18" s="654"/>
      <c r="I18" s="657"/>
      <c r="J18" s="654"/>
      <c r="K18" s="657"/>
      <c r="L18" s="654"/>
      <c r="M18" s="657" t="s">
        <v>16</v>
      </c>
      <c r="N18" s="714">
        <v>0</v>
      </c>
      <c r="O18" s="738">
        <v>1098</v>
      </c>
      <c r="P18" s="747">
        <v>1098</v>
      </c>
      <c r="Q18" s="1001"/>
      <c r="R18" s="1001"/>
      <c r="S18" s="1001"/>
      <c r="T18" s="1001"/>
      <c r="U18" s="1001"/>
      <c r="V18" s="642">
        <f t="shared" si="4"/>
        <v>4</v>
      </c>
    </row>
    <row r="19" spans="1:22" ht="15.75" thickBot="1" x14ac:dyDescent="0.3">
      <c r="A19" s="651">
        <v>44365</v>
      </c>
      <c r="B19" s="657" t="str">
        <f t="shared" si="0"/>
        <v>Pá</v>
      </c>
      <c r="C19" s="748">
        <f t="shared" si="1"/>
        <v>0.4375</v>
      </c>
      <c r="D19" s="837">
        <f t="shared" si="2"/>
        <v>0</v>
      </c>
      <c r="E19" s="724">
        <v>0.33333333333333331</v>
      </c>
      <c r="F19" s="726">
        <f>TIME(0,30,0)</f>
        <v>2.0833333333333332E-2</v>
      </c>
      <c r="G19" s="727">
        <v>0.79166666666666663</v>
      </c>
      <c r="H19" s="654"/>
      <c r="I19" s="657"/>
      <c r="J19" s="654"/>
      <c r="K19" s="657"/>
      <c r="L19" s="654"/>
      <c r="M19" s="657" t="s">
        <v>16</v>
      </c>
      <c r="N19" s="714">
        <v>0</v>
      </c>
      <c r="O19" s="738" t="s">
        <v>33</v>
      </c>
      <c r="P19" s="747" t="s">
        <v>33</v>
      </c>
      <c r="Q19" s="1001"/>
      <c r="R19" s="1001"/>
      <c r="S19" s="1001"/>
      <c r="T19" s="1001"/>
      <c r="U19" s="1001"/>
      <c r="V19" s="642">
        <f t="shared" si="4"/>
        <v>5</v>
      </c>
    </row>
    <row r="20" spans="1:22" ht="15.75" thickBot="1" x14ac:dyDescent="0.3">
      <c r="A20" s="651">
        <v>44366</v>
      </c>
      <c r="B20" s="657" t="str">
        <f t="shared" si="0"/>
        <v>So</v>
      </c>
      <c r="C20" s="748">
        <f t="shared" si="1"/>
        <v>0.20833333333333331</v>
      </c>
      <c r="D20" s="837">
        <f t="shared" si="2"/>
        <v>0</v>
      </c>
      <c r="E20" s="724">
        <v>0.33333333333333331</v>
      </c>
      <c r="F20" s="726"/>
      <c r="G20" s="727">
        <v>0.54166666666666663</v>
      </c>
      <c r="H20" s="654"/>
      <c r="I20" s="657"/>
      <c r="J20" s="654"/>
      <c r="K20" s="657"/>
      <c r="L20" s="654"/>
      <c r="M20" s="657" t="s">
        <v>16</v>
      </c>
      <c r="N20" s="714">
        <v>0</v>
      </c>
      <c r="O20" s="738">
        <v>0</v>
      </c>
      <c r="P20" s="747">
        <v>0</v>
      </c>
      <c r="Q20" s="1001"/>
      <c r="R20" s="1001"/>
      <c r="S20" s="1001"/>
      <c r="T20" s="1001"/>
      <c r="U20" s="1001"/>
      <c r="V20" s="642">
        <f t="shared" si="4"/>
        <v>6</v>
      </c>
    </row>
    <row r="21" spans="1:22" ht="15.75" thickBot="1" x14ac:dyDescent="0.3">
      <c r="A21" s="651">
        <v>44367</v>
      </c>
      <c r="B21" s="657" t="str">
        <f t="shared" si="0"/>
        <v>Ne</v>
      </c>
      <c r="C21" s="748">
        <f t="shared" si="1"/>
        <v>0</v>
      </c>
      <c r="D21" s="837">
        <f t="shared" si="2"/>
        <v>0</v>
      </c>
      <c r="E21" s="724"/>
      <c r="F21" s="726"/>
      <c r="G21" s="727"/>
      <c r="H21" s="654"/>
      <c r="I21" s="657"/>
      <c r="J21" s="654"/>
      <c r="K21" s="657"/>
      <c r="L21" s="654"/>
      <c r="M21" s="657" t="s">
        <v>16</v>
      </c>
      <c r="N21" s="714">
        <v>0</v>
      </c>
      <c r="O21" s="738" t="s">
        <v>34</v>
      </c>
      <c r="P21" s="747" t="s">
        <v>34</v>
      </c>
      <c r="Q21" s="1001"/>
      <c r="R21" s="1001"/>
      <c r="S21" s="1001"/>
      <c r="T21" s="1001"/>
      <c r="U21" s="1001"/>
      <c r="V21" s="642">
        <f t="shared" si="4"/>
        <v>7</v>
      </c>
    </row>
    <row r="22" spans="1:22" ht="15.75" thickBot="1" x14ac:dyDescent="0.3">
      <c r="A22" s="651">
        <v>44368</v>
      </c>
      <c r="B22" s="657" t="str">
        <f t="shared" si="0"/>
        <v>Po</v>
      </c>
      <c r="C22" s="748">
        <f t="shared" si="1"/>
        <v>0.20833333333333331</v>
      </c>
      <c r="D22" s="837">
        <f t="shared" si="2"/>
        <v>0</v>
      </c>
      <c r="E22" s="724">
        <v>0.33333333333333331</v>
      </c>
      <c r="F22" s="726"/>
      <c r="G22" s="727">
        <v>0.54166666666666663</v>
      </c>
      <c r="H22" s="654"/>
      <c r="I22" s="657"/>
      <c r="J22" s="654"/>
      <c r="K22" s="657"/>
      <c r="L22" s="654"/>
      <c r="M22" s="657" t="s">
        <v>16</v>
      </c>
      <c r="N22" s="714">
        <v>0</v>
      </c>
      <c r="O22" s="738">
        <v>0</v>
      </c>
      <c r="P22" s="747">
        <v>0</v>
      </c>
      <c r="Q22" s="1001"/>
      <c r="R22" s="1002">
        <f>S17-Q24</f>
        <v>9321</v>
      </c>
      <c r="S22" s="1002">
        <f>T17-Q24</f>
        <v>9321</v>
      </c>
      <c r="T22" s="1001"/>
      <c r="U22" s="1001"/>
      <c r="V22" s="642">
        <f t="shared" si="4"/>
        <v>1</v>
      </c>
    </row>
    <row r="23" spans="1:22" ht="15.75" thickBot="1" x14ac:dyDescent="0.3">
      <c r="A23" s="651">
        <v>44369</v>
      </c>
      <c r="B23" s="657" t="str">
        <f t="shared" si="0"/>
        <v>Út</v>
      </c>
      <c r="C23" s="748">
        <f t="shared" si="1"/>
        <v>0.20833333333333331</v>
      </c>
      <c r="D23" s="837">
        <f t="shared" si="2"/>
        <v>0</v>
      </c>
      <c r="E23" s="724">
        <v>0.33333333333333331</v>
      </c>
      <c r="F23" s="726"/>
      <c r="G23" s="727">
        <v>0.54166666666666663</v>
      </c>
      <c r="H23" s="654"/>
      <c r="I23" s="657"/>
      <c r="J23" s="654"/>
      <c r="K23" s="657"/>
      <c r="L23" s="654"/>
      <c r="M23" s="657" t="s">
        <v>16</v>
      </c>
      <c r="N23" s="714">
        <v>0</v>
      </c>
      <c r="O23" s="897" t="s">
        <v>364</v>
      </c>
      <c r="P23" s="895" t="s">
        <v>363</v>
      </c>
      <c r="Q23" s="1001"/>
      <c r="R23" s="1001"/>
      <c r="S23" s="1001"/>
      <c r="T23" s="1001"/>
      <c r="U23" s="1001"/>
      <c r="V23" s="642">
        <f t="shared" si="4"/>
        <v>2</v>
      </c>
    </row>
    <row r="24" spans="1:22" ht="15.75" thickBot="1" x14ac:dyDescent="0.3">
      <c r="A24" s="651">
        <v>44370</v>
      </c>
      <c r="B24" s="657" t="str">
        <f t="shared" si="0"/>
        <v>St</v>
      </c>
      <c r="C24" s="748">
        <f t="shared" si="1"/>
        <v>0</v>
      </c>
      <c r="D24" s="837">
        <f t="shared" si="2"/>
        <v>0</v>
      </c>
      <c r="E24" s="724"/>
      <c r="F24" s="726"/>
      <c r="G24" s="727"/>
      <c r="H24" s="654"/>
      <c r="I24" s="657"/>
      <c r="J24" s="654"/>
      <c r="K24" s="657"/>
      <c r="L24" s="654"/>
      <c r="M24" s="657" t="s">
        <v>16</v>
      </c>
      <c r="N24" s="714">
        <v>0</v>
      </c>
      <c r="O24" s="898">
        <f>P12-Q5</f>
        <v>4884</v>
      </c>
      <c r="P24" s="747">
        <v>0</v>
      </c>
      <c r="Q24" s="1002">
        <f>O26-O28</f>
        <v>-77614</v>
      </c>
      <c r="R24" s="1001"/>
      <c r="S24" s="1001"/>
      <c r="T24" s="1001"/>
      <c r="U24" s="1001"/>
      <c r="V24" s="642">
        <f t="shared" si="4"/>
        <v>3</v>
      </c>
    </row>
    <row r="25" spans="1:22" ht="15.75" thickBot="1" x14ac:dyDescent="0.3">
      <c r="A25" s="651">
        <v>44371</v>
      </c>
      <c r="B25" s="657" t="str">
        <f t="shared" si="0"/>
        <v>Čt</v>
      </c>
      <c r="C25" s="748">
        <f t="shared" si="1"/>
        <v>0</v>
      </c>
      <c r="D25" s="837">
        <f t="shared" si="2"/>
        <v>0</v>
      </c>
      <c r="E25" s="724"/>
      <c r="F25" s="726"/>
      <c r="G25" s="727"/>
      <c r="H25" s="654"/>
      <c r="I25" s="657"/>
      <c r="J25" s="654"/>
      <c r="K25" s="657"/>
      <c r="L25" s="654"/>
      <c r="M25" s="657" t="s">
        <v>16</v>
      </c>
      <c r="N25" s="714">
        <v>0</v>
      </c>
      <c r="O25" s="711" t="s">
        <v>372</v>
      </c>
      <c r="P25" s="646"/>
      <c r="Q25" s="1001"/>
      <c r="R25" s="1001"/>
      <c r="S25" s="1001"/>
      <c r="T25" s="1001"/>
      <c r="U25" s="1001"/>
      <c r="V25" s="642">
        <f t="shared" si="4"/>
        <v>4</v>
      </c>
    </row>
    <row r="26" spans="1:22" ht="15.75" thickBot="1" x14ac:dyDescent="0.3">
      <c r="A26" s="651">
        <v>44372</v>
      </c>
      <c r="B26" s="657" t="str">
        <f t="shared" si="0"/>
        <v>Pá</v>
      </c>
      <c r="C26" s="748">
        <f t="shared" si="1"/>
        <v>0</v>
      </c>
      <c r="D26" s="837">
        <f t="shared" si="2"/>
        <v>0</v>
      </c>
      <c r="E26" s="724"/>
      <c r="F26" s="726"/>
      <c r="G26" s="727"/>
      <c r="H26" s="654"/>
      <c r="I26" s="657"/>
      <c r="J26" s="654"/>
      <c r="K26" s="657"/>
      <c r="L26" s="654"/>
      <c r="M26" s="657" t="s">
        <v>16</v>
      </c>
      <c r="N26" s="714">
        <v>0</v>
      </c>
      <c r="O26" s="738">
        <v>0</v>
      </c>
      <c r="P26" s="747"/>
      <c r="Q26" s="718"/>
      <c r="R26" s="718"/>
      <c r="S26" s="718"/>
      <c r="T26" s="718"/>
      <c r="U26" s="718"/>
      <c r="V26" s="642">
        <f t="shared" si="4"/>
        <v>5</v>
      </c>
    </row>
    <row r="27" spans="1:22" ht="15.75" thickBot="1" x14ac:dyDescent="0.3">
      <c r="A27" s="651">
        <v>44373</v>
      </c>
      <c r="B27" s="657" t="str">
        <f t="shared" si="0"/>
        <v>So</v>
      </c>
      <c r="C27" s="748">
        <f t="shared" si="1"/>
        <v>0</v>
      </c>
      <c r="D27" s="837">
        <f t="shared" si="2"/>
        <v>0</v>
      </c>
      <c r="E27" s="724"/>
      <c r="F27" s="726"/>
      <c r="G27" s="727"/>
      <c r="H27" s="654"/>
      <c r="I27" s="657"/>
      <c r="J27" s="654"/>
      <c r="K27" s="657"/>
      <c r="L27" s="654"/>
      <c r="M27" s="657" t="s">
        <v>16</v>
      </c>
      <c r="N27" s="714">
        <v>0</v>
      </c>
      <c r="O27" s="711" t="s">
        <v>373</v>
      </c>
      <c r="P27" s="646"/>
      <c r="Q27" s="718"/>
      <c r="R27" s="718"/>
      <c r="S27" s="718"/>
      <c r="T27" s="718"/>
      <c r="U27" s="718"/>
      <c r="V27" s="642">
        <f t="shared" si="4"/>
        <v>6</v>
      </c>
    </row>
    <row r="28" spans="1:22" ht="15.75" thickBot="1" x14ac:dyDescent="0.3">
      <c r="A28" s="651">
        <v>44374</v>
      </c>
      <c r="B28" s="657" t="str">
        <f t="shared" si="0"/>
        <v>Ne</v>
      </c>
      <c r="C28" s="748">
        <f t="shared" si="1"/>
        <v>0</v>
      </c>
      <c r="D28" s="837">
        <f t="shared" si="2"/>
        <v>0</v>
      </c>
      <c r="E28" s="724"/>
      <c r="F28" s="726"/>
      <c r="G28" s="727"/>
      <c r="H28" s="654"/>
      <c r="I28" s="657"/>
      <c r="J28" s="654"/>
      <c r="K28" s="657"/>
      <c r="L28" s="654"/>
      <c r="M28" s="657" t="s">
        <v>16</v>
      </c>
      <c r="N28" s="714">
        <v>0</v>
      </c>
      <c r="O28" s="738">
        <f>'05hod21'!O26</f>
        <v>77614</v>
      </c>
      <c r="P28" s="646"/>
      <c r="Q28" s="718"/>
      <c r="R28" s="718"/>
      <c r="S28" s="718"/>
      <c r="T28" s="718"/>
      <c r="U28" s="718"/>
      <c r="V28" s="642">
        <f t="shared" si="4"/>
        <v>7</v>
      </c>
    </row>
    <row r="29" spans="1:22" ht="15.75" thickBot="1" x14ac:dyDescent="0.3">
      <c r="A29" s="651">
        <v>44375</v>
      </c>
      <c r="B29" s="657" t="str">
        <f t="shared" si="0"/>
        <v>Po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/>
      <c r="I29" s="657"/>
      <c r="J29" s="654"/>
      <c r="K29" s="657"/>
      <c r="L29" s="654"/>
      <c r="M29" s="657" t="s">
        <v>16</v>
      </c>
      <c r="N29" s="714">
        <v>0</v>
      </c>
      <c r="O29" s="712"/>
      <c r="P29" s="648"/>
      <c r="Q29" s="718"/>
      <c r="R29" s="718"/>
      <c r="S29" s="718"/>
      <c r="T29" s="718"/>
      <c r="U29" s="718"/>
      <c r="V29" s="642">
        <f t="shared" si="4"/>
        <v>1</v>
      </c>
    </row>
    <row r="30" spans="1:22" ht="15.75" thickBot="1" x14ac:dyDescent="0.3">
      <c r="A30" s="651">
        <v>44376</v>
      </c>
      <c r="B30" s="657" t="str">
        <f t="shared" si="0"/>
        <v>Út</v>
      </c>
      <c r="C30" s="748">
        <f t="shared" si="1"/>
        <v>0</v>
      </c>
      <c r="D30" s="837">
        <f t="shared" si="2"/>
        <v>0</v>
      </c>
      <c r="E30" s="724"/>
      <c r="F30" s="726"/>
      <c r="G30" s="727"/>
      <c r="H30" s="654"/>
      <c r="I30" s="657"/>
      <c r="J30" s="654"/>
      <c r="K30" s="657"/>
      <c r="L30" s="654"/>
      <c r="M30" s="657" t="s">
        <v>16</v>
      </c>
      <c r="N30" s="708">
        <v>0</v>
      </c>
      <c r="O30" s="715"/>
      <c r="P30" s="720"/>
      <c r="Q30" s="718"/>
      <c r="R30" s="718"/>
      <c r="S30" s="718"/>
      <c r="T30" s="718"/>
      <c r="U30" s="718"/>
      <c r="V30" s="642">
        <f t="shared" si="4"/>
        <v>2</v>
      </c>
    </row>
    <row r="31" spans="1:22" ht="15.75" thickBot="1" x14ac:dyDescent="0.3">
      <c r="A31" s="651">
        <v>44377</v>
      </c>
      <c r="B31" s="657" t="str">
        <f t="shared" si="0"/>
        <v>St</v>
      </c>
      <c r="C31" s="748">
        <f t="shared" si="1"/>
        <v>0</v>
      </c>
      <c r="D31" s="837">
        <f t="shared" si="2"/>
        <v>0</v>
      </c>
      <c r="E31" s="724"/>
      <c r="F31" s="726"/>
      <c r="G31" s="727"/>
      <c r="H31" s="654"/>
      <c r="I31" s="657"/>
      <c r="J31" s="654"/>
      <c r="K31" s="657"/>
      <c r="L31" s="654"/>
      <c r="M31" s="657" t="s">
        <v>16</v>
      </c>
      <c r="N31" s="708">
        <v>0</v>
      </c>
      <c r="O31" s="649"/>
      <c r="P31" s="646"/>
      <c r="Q31" s="718"/>
      <c r="R31" s="718"/>
      <c r="S31" s="718"/>
      <c r="T31" s="718"/>
      <c r="U31" s="718"/>
      <c r="V31" s="642">
        <f t="shared" si="4"/>
        <v>3</v>
      </c>
    </row>
    <row r="32" spans="1:22" ht="15.75" thickBot="1" x14ac:dyDescent="0.3">
      <c r="A32" s="651">
        <v>44378</v>
      </c>
      <c r="B32" s="657" t="str">
        <f t="shared" si="0"/>
        <v>Čt</v>
      </c>
      <c r="C32" s="748">
        <f t="shared" si="1"/>
        <v>0</v>
      </c>
      <c r="D32" s="837">
        <f t="shared" si="2"/>
        <v>0</v>
      </c>
      <c r="E32" s="724"/>
      <c r="F32" s="726"/>
      <c r="G32" s="727"/>
      <c r="H32" s="654"/>
      <c r="I32" s="657"/>
      <c r="J32" s="654"/>
      <c r="K32" s="657"/>
      <c r="L32" s="654"/>
      <c r="M32" s="657" t="s">
        <v>16</v>
      </c>
      <c r="N32" s="708">
        <v>0</v>
      </c>
      <c r="O32" s="649"/>
      <c r="P32" s="646"/>
      <c r="Q32" s="718"/>
      <c r="R32" s="718"/>
      <c r="S32" s="718"/>
      <c r="T32" s="718"/>
      <c r="U32" s="718"/>
      <c r="V32" s="642">
        <f t="shared" si="4"/>
        <v>4</v>
      </c>
    </row>
    <row r="33" spans="1:22" ht="15.75" thickBot="1" x14ac:dyDescent="0.3">
      <c r="A33" s="651">
        <v>44379</v>
      </c>
      <c r="B33" s="657" t="str">
        <f t="shared" si="0"/>
        <v>Pá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/>
      <c r="I33" s="657"/>
      <c r="J33" s="654"/>
      <c r="K33" s="657"/>
      <c r="L33" s="654"/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5</v>
      </c>
    </row>
    <row r="34" spans="1:22" ht="15.75" thickBot="1" x14ac:dyDescent="0.3">
      <c r="A34" s="651">
        <v>44380</v>
      </c>
      <c r="B34" s="657" t="str">
        <f t="shared" si="0"/>
        <v>So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/>
      <c r="I34" s="657"/>
      <c r="J34" s="654"/>
      <c r="K34" s="657"/>
      <c r="L34" s="654"/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5">WEEKDAY(A34,2)</f>
        <v>6</v>
      </c>
    </row>
    <row r="35" spans="1:22" ht="15.75" thickBot="1" x14ac:dyDescent="0.3">
      <c r="A35" s="651">
        <v>44381</v>
      </c>
      <c r="B35" s="658" t="str">
        <f t="shared" si="0"/>
        <v>Ne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5"/>
      <c r="I35" s="658"/>
      <c r="J35" s="655"/>
      <c r="K35" s="658"/>
      <c r="L35" s="655"/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5"/>
        <v>7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3.791666666666667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3F23F2-8D0D-B545-8293-18A11FFFA2C5}">
  <dimension ref="A1:V45"/>
  <sheetViews>
    <sheetView topLeftCell="AB1" zoomScaleNormal="60" zoomScaleSheetLayoutView="100" workbookViewId="0">
      <selection activeCell="Q34" sqref="Q34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0" bestFit="1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710937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44378</v>
      </c>
      <c r="B2" s="656" t="str">
        <f t="shared" ref="B2:B35" si="0">CHOOSE(WEEKDAY(V2),"Po","Út","St","Čt","Pá","So","Ne")</f>
        <v>Čt</v>
      </c>
      <c r="C2" s="748">
        <f t="shared" ref="C2:C35" si="1">G2-E2-F2</f>
        <v>0</v>
      </c>
      <c r="D2" s="836">
        <f t="shared" ref="D2:D35" si="2">(N2*C2)*24</f>
        <v>0</v>
      </c>
      <c r="E2" s="723"/>
      <c r="F2" s="726"/>
      <c r="G2" s="726"/>
      <c r="H2" s="653"/>
      <c r="I2" s="656"/>
      <c r="J2" s="653"/>
      <c r="K2" s="656"/>
      <c r="L2" s="653"/>
      <c r="M2" s="656">
        <v>3</v>
      </c>
      <c r="N2" s="713">
        <v>0</v>
      </c>
      <c r="O2" s="834">
        <f>(O4+O6)</f>
        <v>246.49999999999997</v>
      </c>
      <c r="P2" s="716">
        <f t="shared" ref="P2" si="3">P4+P6</f>
        <v>246.5</v>
      </c>
      <c r="Q2" s="853">
        <v>29084</v>
      </c>
      <c r="R2" s="644" t="s">
        <v>17</v>
      </c>
      <c r="S2" s="644" t="s">
        <v>404</v>
      </c>
      <c r="T2" s="875">
        <v>44393</v>
      </c>
      <c r="U2" s="722">
        <f>T7*20</f>
        <v>0</v>
      </c>
      <c r="V2" s="642">
        <f t="shared" ref="V2:V32" si="4">WEEKDAY(A2,2)</f>
        <v>4</v>
      </c>
    </row>
    <row r="3" spans="1:22" ht="15.75" thickBot="1" x14ac:dyDescent="0.3">
      <c r="A3" s="651">
        <v>44379</v>
      </c>
      <c r="B3" s="657" t="str">
        <f t="shared" si="0"/>
        <v>Pá</v>
      </c>
      <c r="C3" s="748">
        <f t="shared" si="1"/>
        <v>0</v>
      </c>
      <c r="D3" s="837">
        <f t="shared" si="2"/>
        <v>0</v>
      </c>
      <c r="E3" s="724"/>
      <c r="F3" s="726"/>
      <c r="G3" s="727"/>
      <c r="H3" s="654"/>
      <c r="I3" s="657"/>
      <c r="J3" s="654"/>
      <c r="K3" s="657"/>
      <c r="L3" s="654"/>
      <c r="M3" s="657">
        <v>3</v>
      </c>
      <c r="N3" s="714">
        <v>0</v>
      </c>
      <c r="O3" s="711" t="s">
        <v>19</v>
      </c>
      <c r="P3" s="717" t="s">
        <v>19</v>
      </c>
      <c r="Q3" s="738">
        <v>0</v>
      </c>
      <c r="R3" s="611" t="s">
        <v>17</v>
      </c>
      <c r="S3" s="611" t="s">
        <v>210</v>
      </c>
      <c r="T3" s="874"/>
      <c r="U3" s="718"/>
      <c r="V3" s="642">
        <f t="shared" si="4"/>
        <v>5</v>
      </c>
    </row>
    <row r="4" spans="1:22" ht="15.75" thickBot="1" x14ac:dyDescent="0.3">
      <c r="A4" s="651">
        <v>44380</v>
      </c>
      <c r="B4" s="657" t="str">
        <f t="shared" si="0"/>
        <v>So</v>
      </c>
      <c r="C4" s="748">
        <f t="shared" si="1"/>
        <v>0</v>
      </c>
      <c r="D4" s="837">
        <f t="shared" si="2"/>
        <v>0</v>
      </c>
      <c r="E4" s="724"/>
      <c r="F4" s="726"/>
      <c r="G4" s="727"/>
      <c r="H4" s="654"/>
      <c r="I4" s="657"/>
      <c r="J4" s="654"/>
      <c r="K4" s="657"/>
      <c r="L4" s="654"/>
      <c r="M4" s="657">
        <v>3</v>
      </c>
      <c r="N4" s="714">
        <v>0</v>
      </c>
      <c r="O4" s="835">
        <f>O40*24</f>
        <v>246.49999999999997</v>
      </c>
      <c r="P4" s="717">
        <v>246.5</v>
      </c>
      <c r="Q4" s="738">
        <v>0</v>
      </c>
      <c r="R4" s="611" t="s">
        <v>17</v>
      </c>
      <c r="S4" s="611" t="s">
        <v>210</v>
      </c>
      <c r="T4" s="874"/>
      <c r="U4" s="718"/>
      <c r="V4" s="642">
        <f t="shared" si="4"/>
        <v>6</v>
      </c>
    </row>
    <row r="5" spans="1:22" ht="15.75" thickBot="1" x14ac:dyDescent="0.3">
      <c r="A5" s="651">
        <v>44381</v>
      </c>
      <c r="B5" s="657" t="str">
        <f t="shared" si="0"/>
        <v>Ne</v>
      </c>
      <c r="C5" s="748">
        <f t="shared" si="1"/>
        <v>0</v>
      </c>
      <c r="D5" s="837">
        <f t="shared" si="2"/>
        <v>0</v>
      </c>
      <c r="E5" s="724"/>
      <c r="F5" s="726"/>
      <c r="G5" s="727"/>
      <c r="H5" s="654"/>
      <c r="I5" s="657"/>
      <c r="J5" s="654"/>
      <c r="K5" s="657"/>
      <c r="L5" s="654"/>
      <c r="M5" s="657">
        <v>3</v>
      </c>
      <c r="N5" s="714">
        <v>0</v>
      </c>
      <c r="O5" s="711" t="s">
        <v>14</v>
      </c>
      <c r="P5" s="717" t="s">
        <v>14</v>
      </c>
      <c r="Q5" s="738">
        <v>49951</v>
      </c>
      <c r="R5" s="611" t="s">
        <v>17</v>
      </c>
      <c r="S5" s="611" t="s">
        <v>405</v>
      </c>
      <c r="T5" s="874">
        <v>44425</v>
      </c>
      <c r="U5" s="718"/>
      <c r="V5" s="642">
        <f t="shared" si="4"/>
        <v>7</v>
      </c>
    </row>
    <row r="6" spans="1:22" ht="15.75" thickBot="1" x14ac:dyDescent="0.3">
      <c r="A6" s="651">
        <v>44382</v>
      </c>
      <c r="B6" s="657" t="str">
        <f t="shared" si="0"/>
        <v>Po</v>
      </c>
      <c r="C6" s="748">
        <f t="shared" si="1"/>
        <v>0.39583333333333331</v>
      </c>
      <c r="D6" s="837">
        <f t="shared" si="2"/>
        <v>28.5</v>
      </c>
      <c r="E6" s="724">
        <v>0.375</v>
      </c>
      <c r="F6" s="726">
        <f t="shared" ref="F6:F11" si="5">TIME(0,30,0)</f>
        <v>2.0833333333333332E-2</v>
      </c>
      <c r="G6" s="727">
        <v>0.79166666666666663</v>
      </c>
      <c r="H6" s="654" t="s">
        <v>408</v>
      </c>
      <c r="I6" s="657" t="s">
        <v>409</v>
      </c>
      <c r="J6" s="654" t="s">
        <v>301</v>
      </c>
      <c r="K6" s="657" t="s">
        <v>297</v>
      </c>
      <c r="L6" s="654" t="s">
        <v>300</v>
      </c>
      <c r="M6" s="657">
        <v>3</v>
      </c>
      <c r="N6" s="714">
        <v>3</v>
      </c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839"/>
      <c r="U6" s="718"/>
      <c r="V6" s="642">
        <f t="shared" si="4"/>
        <v>1</v>
      </c>
    </row>
    <row r="7" spans="1:22" ht="15.75" thickBot="1" x14ac:dyDescent="0.3">
      <c r="A7" s="651">
        <v>44383</v>
      </c>
      <c r="B7" s="657" t="str">
        <f t="shared" si="0"/>
        <v>Út</v>
      </c>
      <c r="C7" s="748">
        <f t="shared" si="1"/>
        <v>0.4375</v>
      </c>
      <c r="D7" s="837">
        <f t="shared" si="2"/>
        <v>31.5</v>
      </c>
      <c r="E7" s="724">
        <v>0.29166666666666669</v>
      </c>
      <c r="F7" s="726">
        <f t="shared" si="5"/>
        <v>2.0833333333333332E-2</v>
      </c>
      <c r="G7" s="727">
        <v>0.75</v>
      </c>
      <c r="H7" s="654" t="s">
        <v>408</v>
      </c>
      <c r="I7" s="657" t="s">
        <v>409</v>
      </c>
      <c r="J7" s="654" t="s">
        <v>301</v>
      </c>
      <c r="K7" s="657"/>
      <c r="L7" s="654" t="s">
        <v>300</v>
      </c>
      <c r="M7" s="657">
        <v>3</v>
      </c>
      <c r="N7" s="714">
        <v>3</v>
      </c>
      <c r="O7" s="711" t="s">
        <v>20</v>
      </c>
      <c r="P7" s="646" t="s">
        <v>20</v>
      </c>
      <c r="Q7" s="924">
        <f>Q3+Q4</f>
        <v>0</v>
      </c>
      <c r="R7" s="718"/>
      <c r="S7" s="718"/>
      <c r="T7" s="718"/>
      <c r="U7" s="718"/>
      <c r="V7" s="642">
        <f t="shared" si="4"/>
        <v>2</v>
      </c>
    </row>
    <row r="8" spans="1:22" ht="15.75" thickBot="1" x14ac:dyDescent="0.3">
      <c r="A8" s="651">
        <v>44384</v>
      </c>
      <c r="B8" s="657" t="str">
        <f t="shared" si="0"/>
        <v>St</v>
      </c>
      <c r="C8" s="748">
        <f t="shared" si="1"/>
        <v>0.4375</v>
      </c>
      <c r="D8" s="837">
        <f t="shared" si="2"/>
        <v>31.5</v>
      </c>
      <c r="E8" s="724">
        <v>0.29166666666666669</v>
      </c>
      <c r="F8" s="726">
        <f t="shared" si="5"/>
        <v>2.0833333333333332E-2</v>
      </c>
      <c r="G8" s="727">
        <v>0.75</v>
      </c>
      <c r="H8" s="654" t="s">
        <v>408</v>
      </c>
      <c r="I8" s="657" t="s">
        <v>409</v>
      </c>
      <c r="J8" s="654" t="s">
        <v>301</v>
      </c>
      <c r="K8" s="657"/>
      <c r="L8" s="654" t="s">
        <v>300</v>
      </c>
      <c r="M8" s="657">
        <v>3</v>
      </c>
      <c r="N8" s="714">
        <v>3</v>
      </c>
      <c r="O8" s="711" t="s">
        <v>22</v>
      </c>
      <c r="P8" s="646" t="s">
        <v>22</v>
      </c>
      <c r="Q8" s="657" t="s">
        <v>412</v>
      </c>
      <c r="R8" s="718"/>
      <c r="S8" s="718"/>
      <c r="T8" s="718"/>
      <c r="U8" s="718"/>
      <c r="V8" s="642">
        <f t="shared" si="4"/>
        <v>3</v>
      </c>
    </row>
    <row r="9" spans="1:22" ht="15.75" thickBot="1" x14ac:dyDescent="0.3">
      <c r="A9" s="651">
        <v>44385</v>
      </c>
      <c r="B9" s="657" t="str">
        <f t="shared" si="0"/>
        <v>Čt</v>
      </c>
      <c r="C9" s="748">
        <f t="shared" si="1"/>
        <v>0.4375</v>
      </c>
      <c r="D9" s="837">
        <f t="shared" si="2"/>
        <v>31.5</v>
      </c>
      <c r="E9" s="724">
        <v>0.29166666666666669</v>
      </c>
      <c r="F9" s="726">
        <f t="shared" si="5"/>
        <v>2.0833333333333332E-2</v>
      </c>
      <c r="G9" s="727">
        <v>0.75</v>
      </c>
      <c r="H9" s="654" t="s">
        <v>408</v>
      </c>
      <c r="I9" s="657" t="s">
        <v>409</v>
      </c>
      <c r="J9" s="654" t="s">
        <v>301</v>
      </c>
      <c r="K9" s="657" t="s">
        <v>297</v>
      </c>
      <c r="L9" s="654" t="s">
        <v>300</v>
      </c>
      <c r="M9" s="657">
        <v>3</v>
      </c>
      <c r="N9" s="714">
        <v>3</v>
      </c>
      <c r="O9" s="711" t="s">
        <v>23</v>
      </c>
      <c r="P9" s="646" t="s">
        <v>23</v>
      </c>
      <c r="Q9" s="851">
        <f>SUM(Q2:Q4)</f>
        <v>29084</v>
      </c>
      <c r="R9" s="718"/>
      <c r="S9" s="718"/>
      <c r="T9" s="718"/>
      <c r="U9" s="718"/>
      <c r="V9" s="642">
        <f t="shared" si="4"/>
        <v>4</v>
      </c>
    </row>
    <row r="10" spans="1:22" ht="15.75" thickBot="1" x14ac:dyDescent="0.3">
      <c r="A10" s="651">
        <v>44386</v>
      </c>
      <c r="B10" s="657" t="str">
        <f t="shared" si="0"/>
        <v>Pá</v>
      </c>
      <c r="C10" s="748">
        <f t="shared" si="1"/>
        <v>0.4375</v>
      </c>
      <c r="D10" s="837">
        <f t="shared" si="2"/>
        <v>31.5</v>
      </c>
      <c r="E10" s="724">
        <v>0.29166666666666669</v>
      </c>
      <c r="F10" s="726">
        <f t="shared" si="5"/>
        <v>2.0833333333333332E-2</v>
      </c>
      <c r="G10" s="727">
        <v>0.75</v>
      </c>
      <c r="H10" s="654" t="s">
        <v>408</v>
      </c>
      <c r="I10" s="657" t="s">
        <v>409</v>
      </c>
      <c r="J10" s="654" t="s">
        <v>301</v>
      </c>
      <c r="K10" s="657"/>
      <c r="L10" s="654" t="s">
        <v>300</v>
      </c>
      <c r="M10" s="657">
        <v>3</v>
      </c>
      <c r="N10" s="714">
        <v>3</v>
      </c>
      <c r="O10" s="738">
        <f>(O2*380)+U2</f>
        <v>93669.999999999985</v>
      </c>
      <c r="P10" s="747">
        <f>SUM(P2*380)</f>
        <v>93670</v>
      </c>
      <c r="Q10" s="719"/>
      <c r="R10" s="718"/>
      <c r="S10" s="718"/>
      <c r="T10" s="718"/>
      <c r="U10" s="718"/>
      <c r="V10" s="642">
        <f t="shared" si="4"/>
        <v>5</v>
      </c>
    </row>
    <row r="11" spans="1:22" ht="15.75" thickBot="1" x14ac:dyDescent="0.3">
      <c r="A11" s="651">
        <v>44387</v>
      </c>
      <c r="B11" s="657" t="str">
        <f t="shared" si="0"/>
        <v>So</v>
      </c>
      <c r="C11" s="748">
        <f t="shared" si="1"/>
        <v>0.35416666666666663</v>
      </c>
      <c r="D11" s="837">
        <f t="shared" si="2"/>
        <v>25.5</v>
      </c>
      <c r="E11" s="724">
        <v>0.29166666666666669</v>
      </c>
      <c r="F11" s="726">
        <f t="shared" si="5"/>
        <v>2.0833333333333332E-2</v>
      </c>
      <c r="G11" s="727">
        <v>0.66666666666666663</v>
      </c>
      <c r="H11" s="654" t="s">
        <v>408</v>
      </c>
      <c r="I11" s="657" t="s">
        <v>409</v>
      </c>
      <c r="J11" s="654" t="s">
        <v>301</v>
      </c>
      <c r="K11" s="657"/>
      <c r="L11" s="654" t="s">
        <v>300</v>
      </c>
      <c r="M11" s="657">
        <v>3</v>
      </c>
      <c r="N11" s="714">
        <v>3</v>
      </c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4"/>
        <v>6</v>
      </c>
    </row>
    <row r="12" spans="1:22" ht="15.75" thickBot="1" x14ac:dyDescent="0.3">
      <c r="A12" s="651">
        <v>44388</v>
      </c>
      <c r="B12" s="657" t="str">
        <f t="shared" si="0"/>
        <v>Ne</v>
      </c>
      <c r="C12" s="748">
        <f t="shared" si="1"/>
        <v>0</v>
      </c>
      <c r="D12" s="837">
        <f t="shared" si="2"/>
        <v>0</v>
      </c>
      <c r="E12" s="724"/>
      <c r="F12" s="726"/>
      <c r="G12" s="727"/>
      <c r="H12" s="654" t="s">
        <v>408</v>
      </c>
      <c r="I12" s="657" t="s">
        <v>409</v>
      </c>
      <c r="J12" s="654" t="s">
        <v>301</v>
      </c>
      <c r="K12" s="657"/>
      <c r="L12" s="654" t="s">
        <v>300</v>
      </c>
      <c r="M12" s="657">
        <v>3</v>
      </c>
      <c r="N12" s="714">
        <v>0</v>
      </c>
      <c r="O12" s="738">
        <f>(O10+O20+O18-O22)-O14-P24</f>
        <v>48422.999999999985</v>
      </c>
      <c r="P12" s="747">
        <f>(P10+P18+P20-P22)-P14-P24</f>
        <v>48423</v>
      </c>
      <c r="Q12" s="718"/>
      <c r="R12" s="718"/>
      <c r="S12" s="718"/>
      <c r="T12" s="718"/>
      <c r="U12" s="718"/>
      <c r="V12" s="642">
        <f t="shared" si="4"/>
        <v>7</v>
      </c>
    </row>
    <row r="13" spans="1:22" ht="15.75" thickBot="1" x14ac:dyDescent="0.3">
      <c r="A13" s="651">
        <v>44389</v>
      </c>
      <c r="B13" s="657" t="str">
        <f t="shared" si="0"/>
        <v>Po</v>
      </c>
      <c r="C13" s="748">
        <f t="shared" si="1"/>
        <v>0.4375</v>
      </c>
      <c r="D13" s="837">
        <f t="shared" si="2"/>
        <v>84</v>
      </c>
      <c r="E13" s="724">
        <v>0.29166666666666669</v>
      </c>
      <c r="F13" s="726">
        <f t="shared" ref="F13:F17" si="6">TIME(0,30,0)</f>
        <v>2.0833333333333332E-2</v>
      </c>
      <c r="G13" s="727">
        <v>0.75</v>
      </c>
      <c r="H13" s="654" t="s">
        <v>408</v>
      </c>
      <c r="I13" s="657" t="s">
        <v>409</v>
      </c>
      <c r="J13" s="654" t="s">
        <v>301</v>
      </c>
      <c r="K13" s="657"/>
      <c r="L13" s="654" t="s">
        <v>300</v>
      </c>
      <c r="M13" s="657">
        <v>8</v>
      </c>
      <c r="N13" s="714">
        <v>8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1</v>
      </c>
    </row>
    <row r="14" spans="1:22" ht="15.75" thickBot="1" x14ac:dyDescent="0.3">
      <c r="A14" s="651">
        <v>44390</v>
      </c>
      <c r="B14" s="657" t="str">
        <f t="shared" si="0"/>
        <v>Út</v>
      </c>
      <c r="C14" s="748">
        <f t="shared" si="1"/>
        <v>0.41666666666666663</v>
      </c>
      <c r="D14" s="837">
        <f t="shared" si="2"/>
        <v>80</v>
      </c>
      <c r="E14" s="724">
        <v>0.29166666666666669</v>
      </c>
      <c r="F14" s="726">
        <f>TIME(1,0,0)</f>
        <v>4.1666666666666664E-2</v>
      </c>
      <c r="G14" s="727">
        <v>0.75</v>
      </c>
      <c r="H14" s="654" t="s">
        <v>408</v>
      </c>
      <c r="I14" s="657" t="s">
        <v>409</v>
      </c>
      <c r="J14" s="654" t="s">
        <v>301</v>
      </c>
      <c r="K14" s="657"/>
      <c r="L14" s="654" t="s">
        <v>300</v>
      </c>
      <c r="M14" s="657">
        <v>8</v>
      </c>
      <c r="N14" s="714">
        <v>8</v>
      </c>
      <c r="O14" s="738">
        <f>(O16*25.5)</f>
        <v>7650</v>
      </c>
      <c r="P14" s="747">
        <f>(P16*25.5)</f>
        <v>7650</v>
      </c>
      <c r="Q14" s="1001" t="s">
        <v>454</v>
      </c>
      <c r="R14" s="1002">
        <f>P14+P22-P18</f>
        <v>6412</v>
      </c>
      <c r="S14" s="1001"/>
      <c r="T14" s="1001" t="s">
        <v>456</v>
      </c>
      <c r="U14" s="1002">
        <f>P14+P22</f>
        <v>7650</v>
      </c>
      <c r="V14" s="642">
        <f t="shared" si="4"/>
        <v>2</v>
      </c>
    </row>
    <row r="15" spans="1:22" ht="15.75" thickBot="1" x14ac:dyDescent="0.3">
      <c r="A15" s="651">
        <v>44391</v>
      </c>
      <c r="B15" s="657" t="str">
        <f t="shared" si="0"/>
        <v>St</v>
      </c>
      <c r="C15" s="748">
        <f t="shared" si="1"/>
        <v>0.4375</v>
      </c>
      <c r="D15" s="837">
        <f t="shared" si="2"/>
        <v>84</v>
      </c>
      <c r="E15" s="724">
        <v>0.29166666666666669</v>
      </c>
      <c r="F15" s="726">
        <f t="shared" si="6"/>
        <v>2.0833333333333332E-2</v>
      </c>
      <c r="G15" s="727">
        <v>0.75</v>
      </c>
      <c r="H15" s="654" t="s">
        <v>408</v>
      </c>
      <c r="I15" s="657" t="s">
        <v>409</v>
      </c>
      <c r="J15" s="654" t="s">
        <v>301</v>
      </c>
      <c r="K15" s="657"/>
      <c r="L15" s="654" t="s">
        <v>300</v>
      </c>
      <c r="M15" s="657">
        <v>8</v>
      </c>
      <c r="N15" s="714">
        <v>8</v>
      </c>
      <c r="O15" s="711" t="s">
        <v>29</v>
      </c>
      <c r="P15" s="646" t="s">
        <v>29</v>
      </c>
      <c r="Q15" s="1001" t="s">
        <v>455</v>
      </c>
      <c r="R15" s="1002">
        <f>P10</f>
        <v>93670</v>
      </c>
      <c r="S15" s="1001"/>
      <c r="T15" s="1001" t="s">
        <v>457</v>
      </c>
      <c r="U15" s="1002">
        <f>P10+P18+P20</f>
        <v>94908</v>
      </c>
      <c r="V15" s="642">
        <f t="shared" si="4"/>
        <v>3</v>
      </c>
    </row>
    <row r="16" spans="1:22" ht="15.75" thickBot="1" x14ac:dyDescent="0.3">
      <c r="A16" s="651">
        <v>44392</v>
      </c>
      <c r="B16" s="657" t="str">
        <f t="shared" si="0"/>
        <v>Čt</v>
      </c>
      <c r="C16" s="748">
        <f t="shared" si="1"/>
        <v>0.41666666666666663</v>
      </c>
      <c r="D16" s="837">
        <f t="shared" si="2"/>
        <v>80</v>
      </c>
      <c r="E16" s="724">
        <v>0.29166666666666669</v>
      </c>
      <c r="F16" s="726">
        <f>TIME(1,0,0)</f>
        <v>4.1666666666666664E-2</v>
      </c>
      <c r="G16" s="727">
        <v>0.75</v>
      </c>
      <c r="H16" s="654" t="s">
        <v>408</v>
      </c>
      <c r="I16" s="657" t="s">
        <v>409</v>
      </c>
      <c r="J16" s="654" t="s">
        <v>301</v>
      </c>
      <c r="K16" s="657"/>
      <c r="L16" s="654" t="s">
        <v>300</v>
      </c>
      <c r="M16" s="657">
        <v>8</v>
      </c>
      <c r="N16" s="714">
        <v>8</v>
      </c>
      <c r="O16" s="893">
        <f>'05cash21'!O36</f>
        <v>300</v>
      </c>
      <c r="P16" s="894">
        <v>300</v>
      </c>
      <c r="Q16" s="1001"/>
      <c r="R16" s="1003">
        <f>R15-R14</f>
        <v>87258</v>
      </c>
      <c r="S16" s="1001"/>
      <c r="T16" s="1001"/>
      <c r="U16" s="1002">
        <f>U15-U14</f>
        <v>87258</v>
      </c>
      <c r="V16" s="642">
        <f t="shared" si="4"/>
        <v>4</v>
      </c>
    </row>
    <row r="17" spans="1:22" ht="15.75" thickBot="1" x14ac:dyDescent="0.3">
      <c r="A17" s="651">
        <v>44393</v>
      </c>
      <c r="B17" s="657" t="str">
        <f t="shared" si="0"/>
        <v>Pá</v>
      </c>
      <c r="C17" s="748">
        <f t="shared" si="1"/>
        <v>0.4375</v>
      </c>
      <c r="D17" s="837">
        <f t="shared" si="2"/>
        <v>84</v>
      </c>
      <c r="E17" s="724">
        <v>0.29166666666666669</v>
      </c>
      <c r="F17" s="726">
        <f t="shared" si="6"/>
        <v>2.0833333333333332E-2</v>
      </c>
      <c r="G17" s="727">
        <v>0.75</v>
      </c>
      <c r="H17" s="654" t="s">
        <v>408</v>
      </c>
      <c r="I17" s="657" t="s">
        <v>409</v>
      </c>
      <c r="J17" s="654" t="s">
        <v>301</v>
      </c>
      <c r="K17" s="657"/>
      <c r="L17" s="654" t="s">
        <v>300</v>
      </c>
      <c r="M17" s="657">
        <v>8</v>
      </c>
      <c r="N17" s="714">
        <v>8</v>
      </c>
      <c r="O17" s="711" t="s">
        <v>31</v>
      </c>
      <c r="P17" s="646" t="s">
        <v>31</v>
      </c>
      <c r="Q17" s="1001"/>
      <c r="R17" s="1001"/>
      <c r="S17" s="1002">
        <f>R16-Q5</f>
        <v>37307</v>
      </c>
      <c r="T17" s="1002">
        <f>U16-Q5</f>
        <v>37307</v>
      </c>
      <c r="U17" s="1001"/>
      <c r="V17" s="642">
        <f t="shared" si="4"/>
        <v>5</v>
      </c>
    </row>
    <row r="18" spans="1:22" ht="15.75" thickBot="1" x14ac:dyDescent="0.3">
      <c r="A18" s="651">
        <v>44394</v>
      </c>
      <c r="B18" s="657" t="str">
        <f t="shared" si="0"/>
        <v>So</v>
      </c>
      <c r="C18" s="748">
        <f t="shared" si="1"/>
        <v>0.20833333333333331</v>
      </c>
      <c r="D18" s="837">
        <f t="shared" si="2"/>
        <v>35</v>
      </c>
      <c r="E18" s="724">
        <v>0.29166666666666669</v>
      </c>
      <c r="F18" s="726">
        <f>TIME(0,0,0)</f>
        <v>0</v>
      </c>
      <c r="G18" s="727">
        <v>0.5</v>
      </c>
      <c r="H18" s="654" t="s">
        <v>408</v>
      </c>
      <c r="I18" s="657" t="s">
        <v>409</v>
      </c>
      <c r="J18" s="654" t="s">
        <v>301</v>
      </c>
      <c r="K18" s="657"/>
      <c r="L18" s="654" t="s">
        <v>300</v>
      </c>
      <c r="M18" s="657">
        <v>8</v>
      </c>
      <c r="N18" s="714">
        <v>7</v>
      </c>
      <c r="O18" s="738">
        <v>1238</v>
      </c>
      <c r="P18" s="747">
        <v>1238</v>
      </c>
      <c r="Q18" s="1001"/>
      <c r="R18" s="1001"/>
      <c r="S18" s="1001"/>
      <c r="T18" s="1001"/>
      <c r="U18" s="1001"/>
      <c r="V18" s="642">
        <f t="shared" si="4"/>
        <v>6</v>
      </c>
    </row>
    <row r="19" spans="1:22" ht="15.75" thickBot="1" x14ac:dyDescent="0.3">
      <c r="A19" s="651">
        <v>44395</v>
      </c>
      <c r="B19" s="657" t="str">
        <f t="shared" si="0"/>
        <v>Ne</v>
      </c>
      <c r="C19" s="748">
        <f t="shared" si="1"/>
        <v>0</v>
      </c>
      <c r="D19" s="837">
        <f t="shared" si="2"/>
        <v>0</v>
      </c>
      <c r="E19" s="724"/>
      <c r="F19" s="726"/>
      <c r="G19" s="727"/>
      <c r="H19" s="654" t="s">
        <v>408</v>
      </c>
      <c r="I19" s="657" t="s">
        <v>409</v>
      </c>
      <c r="J19" s="654" t="s">
        <v>301</v>
      </c>
      <c r="K19" s="657"/>
      <c r="L19" s="654" t="s">
        <v>300</v>
      </c>
      <c r="M19" s="657">
        <v>8</v>
      </c>
      <c r="N19" s="714">
        <v>0</v>
      </c>
      <c r="O19" s="738" t="s">
        <v>33</v>
      </c>
      <c r="P19" s="747" t="s">
        <v>33</v>
      </c>
      <c r="Q19" s="1001"/>
      <c r="R19" s="1001"/>
      <c r="S19" s="1001"/>
      <c r="T19" s="1001"/>
      <c r="U19" s="1001"/>
      <c r="V19" s="642">
        <f t="shared" si="4"/>
        <v>7</v>
      </c>
    </row>
    <row r="20" spans="1:22" ht="15.75" thickBot="1" x14ac:dyDescent="0.3">
      <c r="A20" s="651">
        <v>44396</v>
      </c>
      <c r="B20" s="657" t="str">
        <f t="shared" si="0"/>
        <v>Po</v>
      </c>
      <c r="C20" s="748">
        <f t="shared" si="1"/>
        <v>0.47916666666666663</v>
      </c>
      <c r="D20" s="837">
        <f t="shared" si="2"/>
        <v>80.5</v>
      </c>
      <c r="E20" s="724">
        <v>0.29166666666666669</v>
      </c>
      <c r="F20" s="726">
        <f t="shared" ref="F20:F25" si="7">TIME(0,30,0)</f>
        <v>2.0833333333333332E-2</v>
      </c>
      <c r="G20" s="727">
        <v>0.79166666666666663</v>
      </c>
      <c r="H20" s="654" t="s">
        <v>408</v>
      </c>
      <c r="I20" s="657" t="s">
        <v>409</v>
      </c>
      <c r="J20" s="654" t="s">
        <v>301</v>
      </c>
      <c r="K20" s="657"/>
      <c r="L20" s="654" t="s">
        <v>300</v>
      </c>
      <c r="M20" s="657">
        <v>8</v>
      </c>
      <c r="N20" s="714">
        <v>7</v>
      </c>
      <c r="O20" s="738">
        <v>0</v>
      </c>
      <c r="P20" s="747">
        <v>0</v>
      </c>
      <c r="Q20" s="1001"/>
      <c r="R20" s="1001"/>
      <c r="S20" s="1001"/>
      <c r="T20" s="1001"/>
      <c r="U20" s="1001"/>
      <c r="V20" s="642">
        <f t="shared" si="4"/>
        <v>1</v>
      </c>
    </row>
    <row r="21" spans="1:22" ht="15.75" thickBot="1" x14ac:dyDescent="0.3">
      <c r="A21" s="651">
        <v>44397</v>
      </c>
      <c r="B21" s="657" t="str">
        <f t="shared" si="0"/>
        <v>Út</v>
      </c>
      <c r="C21" s="748">
        <f t="shared" si="1"/>
        <v>0.47916666666666663</v>
      </c>
      <c r="D21" s="837">
        <f t="shared" si="2"/>
        <v>92</v>
      </c>
      <c r="E21" s="724">
        <v>0.29166666666666669</v>
      </c>
      <c r="F21" s="726">
        <f t="shared" si="7"/>
        <v>2.0833333333333332E-2</v>
      </c>
      <c r="G21" s="727">
        <v>0.79166666666666663</v>
      </c>
      <c r="H21" s="654" t="s">
        <v>408</v>
      </c>
      <c r="I21" s="657" t="s">
        <v>409</v>
      </c>
      <c r="J21" s="654" t="s">
        <v>301</v>
      </c>
      <c r="K21" s="657"/>
      <c r="L21" s="654" t="s">
        <v>300</v>
      </c>
      <c r="M21" s="657">
        <v>8</v>
      </c>
      <c r="N21" s="714">
        <v>8</v>
      </c>
      <c r="O21" s="738" t="s">
        <v>34</v>
      </c>
      <c r="P21" s="747" t="s">
        <v>34</v>
      </c>
      <c r="Q21" s="1001"/>
      <c r="R21" s="1001"/>
      <c r="S21" s="1001"/>
      <c r="T21" s="1001"/>
      <c r="U21" s="1001"/>
      <c r="V21" s="642">
        <f t="shared" si="4"/>
        <v>2</v>
      </c>
    </row>
    <row r="22" spans="1:22" ht="15.75" thickBot="1" x14ac:dyDescent="0.3">
      <c r="A22" s="651">
        <v>44398</v>
      </c>
      <c r="B22" s="657" t="str">
        <f t="shared" si="0"/>
        <v>St</v>
      </c>
      <c r="C22" s="748">
        <f t="shared" si="1"/>
        <v>0.47916666666666663</v>
      </c>
      <c r="D22" s="837">
        <f t="shared" si="2"/>
        <v>80.5</v>
      </c>
      <c r="E22" s="724">
        <v>0.29166666666666669</v>
      </c>
      <c r="F22" s="726">
        <f t="shared" si="7"/>
        <v>2.0833333333333332E-2</v>
      </c>
      <c r="G22" s="727">
        <v>0.79166666666666663</v>
      </c>
      <c r="H22" s="654" t="s">
        <v>408</v>
      </c>
      <c r="I22" s="657" t="s">
        <v>409</v>
      </c>
      <c r="J22" s="654" t="s">
        <v>301</v>
      </c>
      <c r="K22" s="657"/>
      <c r="L22" s="654" t="s">
        <v>300</v>
      </c>
      <c r="M22" s="657">
        <v>8</v>
      </c>
      <c r="N22" s="714">
        <v>7</v>
      </c>
      <c r="O22" s="738">
        <v>0</v>
      </c>
      <c r="P22" s="747">
        <v>0</v>
      </c>
      <c r="Q22" s="1001"/>
      <c r="R22" s="1002">
        <f>S17-Q24</f>
        <v>-1528</v>
      </c>
      <c r="S22" s="1002">
        <f>T17-Q24</f>
        <v>-1528</v>
      </c>
      <c r="T22" s="1001"/>
      <c r="U22" s="1001"/>
      <c r="V22" s="642">
        <f t="shared" si="4"/>
        <v>3</v>
      </c>
    </row>
    <row r="23" spans="1:22" ht="15.75" thickBot="1" x14ac:dyDescent="0.3">
      <c r="A23" s="651">
        <v>44399</v>
      </c>
      <c r="B23" s="657" t="str">
        <f t="shared" si="0"/>
        <v>Čt</v>
      </c>
      <c r="C23" s="748">
        <f t="shared" si="1"/>
        <v>0.47916666666666663</v>
      </c>
      <c r="D23" s="837">
        <f t="shared" si="2"/>
        <v>92</v>
      </c>
      <c r="E23" s="724">
        <v>0.29166666666666669</v>
      </c>
      <c r="F23" s="726">
        <f t="shared" si="7"/>
        <v>2.0833333333333332E-2</v>
      </c>
      <c r="G23" s="727">
        <v>0.79166666666666663</v>
      </c>
      <c r="H23" s="654" t="s">
        <v>408</v>
      </c>
      <c r="I23" s="657" t="s">
        <v>409</v>
      </c>
      <c r="J23" s="654" t="s">
        <v>301</v>
      </c>
      <c r="K23" s="657"/>
      <c r="L23" s="654" t="s">
        <v>300</v>
      </c>
      <c r="M23" s="657">
        <v>8</v>
      </c>
      <c r="N23" s="714">
        <v>8</v>
      </c>
      <c r="O23" s="895" t="s">
        <v>364</v>
      </c>
      <c r="P23" s="895" t="s">
        <v>363</v>
      </c>
      <c r="Q23" s="1001"/>
      <c r="R23" s="1001"/>
      <c r="S23" s="1001"/>
      <c r="T23" s="1001"/>
      <c r="U23" s="1001"/>
      <c r="V23" s="642">
        <f t="shared" si="4"/>
        <v>4</v>
      </c>
    </row>
    <row r="24" spans="1:22" ht="15.75" thickBot="1" x14ac:dyDescent="0.3">
      <c r="A24" s="651">
        <v>44400</v>
      </c>
      <c r="B24" s="657" t="str">
        <f t="shared" si="0"/>
        <v>Pá</v>
      </c>
      <c r="C24" s="748">
        <f t="shared" si="1"/>
        <v>0.45833333333333326</v>
      </c>
      <c r="D24" s="837">
        <f t="shared" si="2"/>
        <v>87.999999999999986</v>
      </c>
      <c r="E24" s="724">
        <v>0.29166666666666669</v>
      </c>
      <c r="F24" s="726">
        <f>TIME(1,0,0)</f>
        <v>4.1666666666666664E-2</v>
      </c>
      <c r="G24" s="727">
        <v>0.79166666666666663</v>
      </c>
      <c r="H24" s="654" t="s">
        <v>408</v>
      </c>
      <c r="I24" s="657" t="s">
        <v>409</v>
      </c>
      <c r="J24" s="654" t="s">
        <v>301</v>
      </c>
      <c r="K24" s="657"/>
      <c r="L24" s="654" t="s">
        <v>300</v>
      </c>
      <c r="M24" s="657">
        <v>8</v>
      </c>
      <c r="N24" s="714">
        <v>8</v>
      </c>
      <c r="O24" s="747">
        <f>P12-Q5</f>
        <v>-1528</v>
      </c>
      <c r="P24" s="747">
        <f>O26-O28</f>
        <v>38835</v>
      </c>
      <c r="Q24" s="1002">
        <f>O26-O28</f>
        <v>38835</v>
      </c>
      <c r="R24" s="1001"/>
      <c r="S24" s="1001"/>
      <c r="T24" s="1001"/>
      <c r="U24" s="1001"/>
      <c r="V24" s="642">
        <f t="shared" si="4"/>
        <v>5</v>
      </c>
    </row>
    <row r="25" spans="1:22" ht="15.75" thickBot="1" x14ac:dyDescent="0.3">
      <c r="A25" s="651">
        <v>44401</v>
      </c>
      <c r="B25" s="657" t="str">
        <f t="shared" si="0"/>
        <v>So</v>
      </c>
      <c r="C25" s="748">
        <f t="shared" si="1"/>
        <v>0.33333333333333337</v>
      </c>
      <c r="D25" s="837">
        <f t="shared" si="2"/>
        <v>48</v>
      </c>
      <c r="E25" s="724">
        <v>0.29166666666666669</v>
      </c>
      <c r="F25" s="726">
        <f t="shared" si="7"/>
        <v>2.0833333333333332E-2</v>
      </c>
      <c r="G25" s="727">
        <v>0.64583333333333337</v>
      </c>
      <c r="H25" s="654" t="s">
        <v>408</v>
      </c>
      <c r="I25" s="657" t="s">
        <v>409</v>
      </c>
      <c r="J25" s="654" t="s">
        <v>301</v>
      </c>
      <c r="K25" s="657"/>
      <c r="L25" s="654" t="s">
        <v>300</v>
      </c>
      <c r="M25" s="657">
        <v>3</v>
      </c>
      <c r="N25" s="714">
        <v>6</v>
      </c>
      <c r="O25" s="711" t="s">
        <v>372</v>
      </c>
      <c r="P25" s="646"/>
      <c r="Q25" s="1001"/>
      <c r="R25" s="1001"/>
      <c r="S25" s="1001"/>
      <c r="T25" s="1001"/>
      <c r="U25" s="1001"/>
      <c r="V25" s="642">
        <f t="shared" si="4"/>
        <v>6</v>
      </c>
    </row>
    <row r="26" spans="1:22" ht="15.75" thickBot="1" x14ac:dyDescent="0.3">
      <c r="A26" s="651">
        <v>44402</v>
      </c>
      <c r="B26" s="657" t="str">
        <f t="shared" si="0"/>
        <v>Ne</v>
      </c>
      <c r="C26" s="748">
        <f t="shared" si="1"/>
        <v>0</v>
      </c>
      <c r="D26" s="837">
        <f t="shared" si="2"/>
        <v>0</v>
      </c>
      <c r="E26" s="724"/>
      <c r="F26" s="726"/>
      <c r="G26" s="727"/>
      <c r="H26" s="654" t="s">
        <v>408</v>
      </c>
      <c r="I26" s="657" t="s">
        <v>409</v>
      </c>
      <c r="J26" s="654" t="s">
        <v>301</v>
      </c>
      <c r="K26" s="657"/>
      <c r="L26" s="654" t="s">
        <v>300</v>
      </c>
      <c r="M26" s="657">
        <v>3</v>
      </c>
      <c r="N26" s="714">
        <v>0</v>
      </c>
      <c r="O26" s="738">
        <v>38835</v>
      </c>
      <c r="P26" s="747"/>
      <c r="Q26" s="718"/>
      <c r="R26" s="718"/>
      <c r="S26" s="718"/>
      <c r="T26" s="718"/>
      <c r="U26" s="718"/>
      <c r="V26" s="642">
        <f t="shared" si="4"/>
        <v>7</v>
      </c>
    </row>
    <row r="27" spans="1:22" ht="15.75" thickBot="1" x14ac:dyDescent="0.3">
      <c r="A27" s="651">
        <v>44403</v>
      </c>
      <c r="B27" s="657" t="str">
        <f t="shared" si="0"/>
        <v>Po</v>
      </c>
      <c r="C27" s="748">
        <f t="shared" si="1"/>
        <v>0.47916666666666663</v>
      </c>
      <c r="D27" s="837">
        <f t="shared" si="2"/>
        <v>80.5</v>
      </c>
      <c r="E27" s="724">
        <v>0.29166666666666669</v>
      </c>
      <c r="F27" s="726">
        <f t="shared" ref="F27:F28" si="8">TIME(0,30,0)</f>
        <v>2.0833333333333332E-2</v>
      </c>
      <c r="G27" s="727">
        <v>0.79166666666666663</v>
      </c>
      <c r="H27" s="654" t="s">
        <v>408</v>
      </c>
      <c r="I27" s="657" t="s">
        <v>409</v>
      </c>
      <c r="J27" s="654" t="s">
        <v>301</v>
      </c>
      <c r="K27" s="657"/>
      <c r="L27" s="654" t="s">
        <v>300</v>
      </c>
      <c r="M27" s="657">
        <v>3</v>
      </c>
      <c r="N27" s="714">
        <v>7</v>
      </c>
      <c r="O27" s="711" t="s">
        <v>373</v>
      </c>
      <c r="P27" s="646"/>
      <c r="Q27" s="718"/>
      <c r="R27" s="718"/>
      <c r="S27" s="718"/>
      <c r="T27" s="718"/>
      <c r="U27" s="718"/>
      <c r="V27" s="642">
        <f t="shared" si="4"/>
        <v>1</v>
      </c>
    </row>
    <row r="28" spans="1:22" ht="15.75" thickBot="1" x14ac:dyDescent="0.3">
      <c r="A28" s="651">
        <v>44404</v>
      </c>
      <c r="B28" s="657" t="str">
        <f t="shared" si="0"/>
        <v>Út</v>
      </c>
      <c r="C28" s="748">
        <f t="shared" si="1"/>
        <v>0.47916666666666663</v>
      </c>
      <c r="D28" s="837">
        <f t="shared" si="2"/>
        <v>92</v>
      </c>
      <c r="E28" s="724">
        <v>0.29166666666666669</v>
      </c>
      <c r="F28" s="726">
        <f t="shared" si="8"/>
        <v>2.0833333333333332E-2</v>
      </c>
      <c r="G28" s="727">
        <v>0.79166666666666663</v>
      </c>
      <c r="H28" s="654" t="s">
        <v>408</v>
      </c>
      <c r="I28" s="657" t="s">
        <v>409</v>
      </c>
      <c r="J28" s="654" t="s">
        <v>301</v>
      </c>
      <c r="K28" s="657"/>
      <c r="L28" s="654" t="s">
        <v>300</v>
      </c>
      <c r="M28" s="657">
        <v>3</v>
      </c>
      <c r="N28" s="714">
        <v>8</v>
      </c>
      <c r="O28" s="738">
        <f>'06hod21'!O26</f>
        <v>0</v>
      </c>
      <c r="P28" s="646"/>
      <c r="Q28" s="718"/>
      <c r="R28" s="718"/>
      <c r="S28" s="718"/>
      <c r="T28" s="718"/>
      <c r="U28" s="718"/>
      <c r="V28" s="642">
        <f t="shared" si="4"/>
        <v>2</v>
      </c>
    </row>
    <row r="29" spans="1:22" ht="15.75" thickBot="1" x14ac:dyDescent="0.3">
      <c r="A29" s="651">
        <v>44405</v>
      </c>
      <c r="B29" s="657" t="str">
        <f t="shared" si="0"/>
        <v>St</v>
      </c>
      <c r="C29" s="748">
        <f t="shared" si="1"/>
        <v>0.47916666666666663</v>
      </c>
      <c r="D29" s="837">
        <f t="shared" si="2"/>
        <v>92</v>
      </c>
      <c r="E29" s="724">
        <v>0.29166666666666669</v>
      </c>
      <c r="F29" s="726">
        <f>TIME(0,30,0)</f>
        <v>2.0833333333333332E-2</v>
      </c>
      <c r="G29" s="727">
        <v>0.79166666666666663</v>
      </c>
      <c r="H29" s="654" t="s">
        <v>408</v>
      </c>
      <c r="I29" s="657" t="s">
        <v>409</v>
      </c>
      <c r="J29" s="654" t="s">
        <v>301</v>
      </c>
      <c r="K29" s="657"/>
      <c r="L29" s="654" t="s">
        <v>300</v>
      </c>
      <c r="M29" s="657">
        <v>3</v>
      </c>
      <c r="N29" s="714">
        <v>8</v>
      </c>
      <c r="O29" s="712"/>
      <c r="P29" s="648"/>
      <c r="Q29" s="718"/>
      <c r="R29" s="718"/>
      <c r="S29" s="718"/>
      <c r="T29" s="718"/>
      <c r="U29" s="718"/>
      <c r="V29" s="642">
        <f t="shared" si="4"/>
        <v>3</v>
      </c>
    </row>
    <row r="30" spans="1:22" ht="15.75" thickBot="1" x14ac:dyDescent="0.3">
      <c r="A30" s="651">
        <v>44406</v>
      </c>
      <c r="B30" s="657" t="str">
        <f t="shared" si="0"/>
        <v>Čt</v>
      </c>
      <c r="C30" s="748">
        <f t="shared" si="1"/>
        <v>0.47916666666666663</v>
      </c>
      <c r="D30" s="837">
        <f t="shared" si="2"/>
        <v>0</v>
      </c>
      <c r="E30" s="724">
        <v>0.29166666666666669</v>
      </c>
      <c r="F30" s="726">
        <f>TIME(0,30,0)</f>
        <v>2.0833333333333332E-2</v>
      </c>
      <c r="G30" s="727">
        <v>0.79166666666666663</v>
      </c>
      <c r="H30" s="654" t="s">
        <v>408</v>
      </c>
      <c r="I30" s="657" t="s">
        <v>409</v>
      </c>
      <c r="J30" s="654" t="s">
        <v>301</v>
      </c>
      <c r="K30" s="657"/>
      <c r="L30" s="654" t="s">
        <v>300</v>
      </c>
      <c r="M30" s="657">
        <v>3</v>
      </c>
      <c r="N30" s="708">
        <v>0</v>
      </c>
      <c r="O30" s="715"/>
      <c r="P30" s="720"/>
      <c r="Q30" s="718"/>
      <c r="R30" s="718"/>
      <c r="S30" s="718"/>
      <c r="T30" s="718"/>
      <c r="U30" s="718"/>
      <c r="V30" s="642">
        <f t="shared" si="4"/>
        <v>4</v>
      </c>
    </row>
    <row r="31" spans="1:22" ht="15.75" thickBot="1" x14ac:dyDescent="0.3">
      <c r="A31" s="651">
        <v>44407</v>
      </c>
      <c r="B31" s="657" t="str">
        <f t="shared" si="0"/>
        <v>Pá</v>
      </c>
      <c r="C31" s="748">
        <f t="shared" si="1"/>
        <v>0.45833333333333326</v>
      </c>
      <c r="D31" s="837">
        <f t="shared" si="2"/>
        <v>0</v>
      </c>
      <c r="E31" s="724">
        <v>0.29166666666666669</v>
      </c>
      <c r="F31" s="726">
        <f>TIME(1,0,0)</f>
        <v>4.1666666666666664E-2</v>
      </c>
      <c r="G31" s="727">
        <v>0.79166666666666663</v>
      </c>
      <c r="H31" s="654" t="s">
        <v>408</v>
      </c>
      <c r="I31" s="657" t="s">
        <v>409</v>
      </c>
      <c r="J31" s="654" t="s">
        <v>301</v>
      </c>
      <c r="K31" s="657"/>
      <c r="L31" s="654" t="s">
        <v>300</v>
      </c>
      <c r="M31" s="657">
        <v>3</v>
      </c>
      <c r="N31" s="708">
        <v>0</v>
      </c>
      <c r="O31" s="649"/>
      <c r="P31" s="646"/>
      <c r="Q31" s="718"/>
      <c r="R31" s="718"/>
      <c r="S31" s="718"/>
      <c r="T31" s="718"/>
      <c r="U31" s="718"/>
      <c r="V31" s="642">
        <f t="shared" si="4"/>
        <v>5</v>
      </c>
    </row>
    <row r="32" spans="1:22" ht="15.75" thickBot="1" x14ac:dyDescent="0.3">
      <c r="A32" s="651">
        <v>44408</v>
      </c>
      <c r="B32" s="657" t="str">
        <f t="shared" si="0"/>
        <v>So</v>
      </c>
      <c r="C32" s="748">
        <f t="shared" si="1"/>
        <v>0.33333333333333337</v>
      </c>
      <c r="D32" s="837">
        <f t="shared" si="2"/>
        <v>0</v>
      </c>
      <c r="E32" s="724">
        <v>0.29166666666666669</v>
      </c>
      <c r="F32" s="726">
        <f>TIME(0,30,0)</f>
        <v>2.0833333333333332E-2</v>
      </c>
      <c r="G32" s="727">
        <v>0.64583333333333337</v>
      </c>
      <c r="H32" s="654" t="s">
        <v>408</v>
      </c>
      <c r="I32" s="657" t="s">
        <v>409</v>
      </c>
      <c r="J32" s="654" t="s">
        <v>301</v>
      </c>
      <c r="K32" s="657"/>
      <c r="L32" s="654" t="s">
        <v>300</v>
      </c>
      <c r="M32" s="657">
        <v>3</v>
      </c>
      <c r="N32" s="708">
        <v>0</v>
      </c>
      <c r="O32" s="649"/>
      <c r="P32" s="646"/>
      <c r="Q32" s="718"/>
      <c r="R32" s="718"/>
      <c r="S32" s="718"/>
      <c r="T32" s="718"/>
      <c r="U32" s="718"/>
      <c r="V32" s="642">
        <f t="shared" si="4"/>
        <v>6</v>
      </c>
    </row>
    <row r="33" spans="1:22" ht="15.75" thickBot="1" x14ac:dyDescent="0.3">
      <c r="A33" s="651">
        <v>44409</v>
      </c>
      <c r="B33" s="657" t="str">
        <f t="shared" si="0"/>
        <v>Ne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 t="s">
        <v>408</v>
      </c>
      <c r="I33" s="657" t="s">
        <v>409</v>
      </c>
      <c r="J33" s="654" t="s">
        <v>301</v>
      </c>
      <c r="K33" s="657"/>
      <c r="L33" s="654"/>
      <c r="M33" s="657">
        <v>3</v>
      </c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7</v>
      </c>
    </row>
    <row r="34" spans="1:22" ht="15.75" thickBot="1" x14ac:dyDescent="0.3">
      <c r="A34" s="651">
        <v>44410</v>
      </c>
      <c r="B34" s="657" t="str">
        <f t="shared" si="0"/>
        <v>Po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 t="s">
        <v>408</v>
      </c>
      <c r="I34" s="657" t="s">
        <v>409</v>
      </c>
      <c r="J34" s="654" t="s">
        <v>301</v>
      </c>
      <c r="K34" s="657"/>
      <c r="L34" s="654"/>
      <c r="M34" s="657">
        <v>3</v>
      </c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9">WEEKDAY(A34,2)</f>
        <v>1</v>
      </c>
    </row>
    <row r="35" spans="1:22" ht="15.75" thickBot="1" x14ac:dyDescent="0.3">
      <c r="A35" s="651">
        <v>44411</v>
      </c>
      <c r="B35" s="658" t="str">
        <f t="shared" si="0"/>
        <v>Út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4" t="s">
        <v>408</v>
      </c>
      <c r="I35" s="657" t="s">
        <v>409</v>
      </c>
      <c r="J35" s="654" t="s">
        <v>301</v>
      </c>
      <c r="K35" s="658"/>
      <c r="L35" s="655"/>
      <c r="M35" s="657">
        <v>3</v>
      </c>
      <c r="N35" s="709"/>
      <c r="O35" s="652"/>
      <c r="P35" s="648"/>
      <c r="Q35" s="718"/>
      <c r="R35" s="718"/>
      <c r="S35" s="718"/>
      <c r="T35" s="718"/>
      <c r="U35" s="718"/>
      <c r="V35" s="642">
        <f t="shared" si="9"/>
        <v>2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10.270833333333332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honeticPr fontId="30" alignment="center"/>
  <pageMargins left="0.7" right="0.7" top="0.75" bottom="0.75" header="0.3" footer="0.3"/>
  <drawing r:id="rId1"/>
  <tableParts count="1">
    <tablePart r:id="rId2"/>
  </tableParts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93A959-4018-6C40-905A-2BAEBCB78801}">
  <dimension ref="A1:V45"/>
  <sheetViews>
    <sheetView topLeftCell="E1" zoomScaleNormal="60" zoomScaleSheetLayoutView="100" workbookViewId="0">
      <selection activeCell="T25" sqref="T25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0" bestFit="1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9.5703125" bestFit="1" customWidth="1"/>
    <col min="19" max="19" width="13" bestFit="1" customWidth="1"/>
    <col min="20" max="20" width="11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44409</v>
      </c>
      <c r="B2" s="656" t="str">
        <f t="shared" ref="B2:B35" si="0">CHOOSE(WEEKDAY(V2),"Po","Út","St","Čt","Pá","So","Ne")</f>
        <v>Ne</v>
      </c>
      <c r="C2" s="748">
        <f>G2-E2-F2</f>
        <v>0</v>
      </c>
      <c r="D2" s="836">
        <f t="shared" ref="D2:D35" si="1">(N2*C2)*24</f>
        <v>0</v>
      </c>
      <c r="E2" s="723"/>
      <c r="F2" s="726"/>
      <c r="G2" s="726"/>
      <c r="H2" s="653" t="s">
        <v>414</v>
      </c>
      <c r="I2" s="656" t="s">
        <v>409</v>
      </c>
      <c r="J2" s="653" t="s">
        <v>301</v>
      </c>
      <c r="K2" s="656"/>
      <c r="L2" s="653" t="s">
        <v>300</v>
      </c>
      <c r="M2" s="656" t="s">
        <v>415</v>
      </c>
      <c r="N2" s="713">
        <v>0</v>
      </c>
      <c r="O2" s="834">
        <f>(O4+O6)</f>
        <v>239.5</v>
      </c>
      <c r="P2" s="716">
        <f t="shared" ref="P2" si="2">P4+P6</f>
        <v>239.5</v>
      </c>
      <c r="Q2" s="853">
        <v>49951</v>
      </c>
      <c r="R2" s="644" t="s">
        <v>17</v>
      </c>
      <c r="S2" s="644" t="s">
        <v>419</v>
      </c>
      <c r="T2" s="875">
        <v>44425</v>
      </c>
      <c r="U2" s="722">
        <f>T7*20</f>
        <v>0</v>
      </c>
      <c r="V2" s="642">
        <f t="shared" ref="V2:V32" si="3">WEEKDAY(A2,2)</f>
        <v>7</v>
      </c>
    </row>
    <row r="3" spans="1:22" ht="15.75" thickBot="1" x14ac:dyDescent="0.3">
      <c r="A3" s="651">
        <v>44410</v>
      </c>
      <c r="B3" s="657" t="str">
        <f t="shared" si="0"/>
        <v>Po</v>
      </c>
      <c r="C3" s="748">
        <f>G3-E3-F3</f>
        <v>0.47916666666666663</v>
      </c>
      <c r="D3" s="837">
        <f t="shared" si="1"/>
        <v>80.5</v>
      </c>
      <c r="E3" s="724">
        <v>0.29166666666666669</v>
      </c>
      <c r="F3" s="726">
        <f>TIME(0,30,0)</f>
        <v>2.0833333333333332E-2</v>
      </c>
      <c r="G3" s="727">
        <v>0.79166666666666663</v>
      </c>
      <c r="H3" s="654"/>
      <c r="I3" s="656" t="s">
        <v>409</v>
      </c>
      <c r="J3" s="653" t="s">
        <v>301</v>
      </c>
      <c r="K3" s="657"/>
      <c r="L3" s="653" t="s">
        <v>300</v>
      </c>
      <c r="M3" s="656" t="s">
        <v>415</v>
      </c>
      <c r="N3" s="714">
        <v>7</v>
      </c>
      <c r="O3" s="711" t="s">
        <v>19</v>
      </c>
      <c r="P3" s="717" t="s">
        <v>19</v>
      </c>
      <c r="Q3" s="738">
        <v>0</v>
      </c>
      <c r="R3" s="611" t="s">
        <v>17</v>
      </c>
      <c r="S3" s="611" t="s">
        <v>210</v>
      </c>
      <c r="T3" s="646"/>
      <c r="U3" s="718"/>
      <c r="V3" s="642">
        <f t="shared" si="3"/>
        <v>1</v>
      </c>
    </row>
    <row r="4" spans="1:22" ht="15.75" thickBot="1" x14ac:dyDescent="0.3">
      <c r="A4" s="651">
        <v>44411</v>
      </c>
      <c r="B4" s="657" t="str">
        <f t="shared" si="0"/>
        <v>Út</v>
      </c>
      <c r="C4" s="748">
        <f t="shared" ref="C4:C35" si="4">G4-E4-F4</f>
        <v>0.45833333333333326</v>
      </c>
      <c r="D4" s="837">
        <f t="shared" si="1"/>
        <v>77</v>
      </c>
      <c r="E4" s="724">
        <v>0.29166666666666669</v>
      </c>
      <c r="F4" s="726">
        <f>TIME(1,0,0)</f>
        <v>4.1666666666666664E-2</v>
      </c>
      <c r="G4" s="727">
        <v>0.79166666666666663</v>
      </c>
      <c r="H4" s="654"/>
      <c r="I4" s="656" t="s">
        <v>409</v>
      </c>
      <c r="J4" s="653" t="s">
        <v>301</v>
      </c>
      <c r="K4" s="657"/>
      <c r="L4" s="653" t="s">
        <v>300</v>
      </c>
      <c r="M4" s="656" t="s">
        <v>415</v>
      </c>
      <c r="N4" s="714">
        <v>7</v>
      </c>
      <c r="O4" s="835">
        <f>O40*24</f>
        <v>239.5</v>
      </c>
      <c r="P4" s="717">
        <v>239.5</v>
      </c>
      <c r="Q4" s="738">
        <v>0</v>
      </c>
      <c r="R4" s="611" t="s">
        <v>17</v>
      </c>
      <c r="S4" s="611" t="s">
        <v>210</v>
      </c>
      <c r="T4" s="646"/>
      <c r="U4" s="718"/>
      <c r="V4" s="642">
        <f t="shared" si="3"/>
        <v>2</v>
      </c>
    </row>
    <row r="5" spans="1:22" ht="15.75" thickBot="1" x14ac:dyDescent="0.3">
      <c r="A5" s="651">
        <v>44412</v>
      </c>
      <c r="B5" s="657" t="str">
        <f t="shared" si="0"/>
        <v>St</v>
      </c>
      <c r="C5" s="748">
        <f t="shared" si="4"/>
        <v>0.47916666666666663</v>
      </c>
      <c r="D5" s="837">
        <f t="shared" si="1"/>
        <v>80.5</v>
      </c>
      <c r="E5" s="724">
        <v>0.29166666666666669</v>
      </c>
      <c r="F5" s="726">
        <f>TIME(0,30,0)</f>
        <v>2.0833333333333332E-2</v>
      </c>
      <c r="G5" s="727">
        <v>0.79166666666666663</v>
      </c>
      <c r="H5" s="654"/>
      <c r="I5" s="656" t="s">
        <v>409</v>
      </c>
      <c r="J5" s="653" t="s">
        <v>301</v>
      </c>
      <c r="K5" s="657"/>
      <c r="L5" s="653" t="s">
        <v>300</v>
      </c>
      <c r="M5" s="656" t="s">
        <v>415</v>
      </c>
      <c r="N5" s="714">
        <v>7</v>
      </c>
      <c r="O5" s="711" t="s">
        <v>14</v>
      </c>
      <c r="P5" s="717" t="s">
        <v>14</v>
      </c>
      <c r="Q5" s="738">
        <v>31480</v>
      </c>
      <c r="R5" s="611" t="s">
        <v>17</v>
      </c>
      <c r="S5" s="611" t="s">
        <v>418</v>
      </c>
      <c r="T5" s="874">
        <v>44455</v>
      </c>
      <c r="U5" s="718"/>
      <c r="V5" s="642">
        <f t="shared" si="3"/>
        <v>3</v>
      </c>
    </row>
    <row r="6" spans="1:22" ht="15.75" thickBot="1" x14ac:dyDescent="0.3">
      <c r="A6" s="651">
        <v>44413</v>
      </c>
      <c r="B6" s="657" t="str">
        <f t="shared" si="0"/>
        <v>Čt</v>
      </c>
      <c r="C6" s="748">
        <f t="shared" si="4"/>
        <v>0.43749999999999994</v>
      </c>
      <c r="D6" s="837">
        <f t="shared" si="1"/>
        <v>73.499999999999986</v>
      </c>
      <c r="E6" s="724">
        <v>0.3125</v>
      </c>
      <c r="F6" s="726">
        <f>TIME(1,0,0)</f>
        <v>4.1666666666666664E-2</v>
      </c>
      <c r="G6" s="727">
        <v>0.79166666666666663</v>
      </c>
      <c r="H6" s="654"/>
      <c r="I6" s="656" t="s">
        <v>409</v>
      </c>
      <c r="J6" s="653" t="s">
        <v>301</v>
      </c>
      <c r="K6" s="657"/>
      <c r="L6" s="653" t="s">
        <v>300</v>
      </c>
      <c r="M6" s="656" t="s">
        <v>415</v>
      </c>
      <c r="N6" s="714">
        <v>7</v>
      </c>
      <c r="O6" s="903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3"/>
        <v>4</v>
      </c>
    </row>
    <row r="7" spans="1:22" ht="15.75" thickBot="1" x14ac:dyDescent="0.3">
      <c r="A7" s="651">
        <v>44414</v>
      </c>
      <c r="B7" s="657" t="str">
        <f t="shared" si="0"/>
        <v>Pá</v>
      </c>
      <c r="C7" s="748">
        <f t="shared" si="4"/>
        <v>0.45833333333333326</v>
      </c>
      <c r="D7" s="837">
        <f t="shared" si="1"/>
        <v>77</v>
      </c>
      <c r="E7" s="724">
        <v>0.29166666666666669</v>
      </c>
      <c r="F7" s="726">
        <f>TIME(1,0,0)</f>
        <v>4.1666666666666664E-2</v>
      </c>
      <c r="G7" s="727">
        <v>0.79166666666666663</v>
      </c>
      <c r="H7" s="654"/>
      <c r="I7" s="656" t="s">
        <v>409</v>
      </c>
      <c r="J7" s="653" t="s">
        <v>301</v>
      </c>
      <c r="K7" s="657"/>
      <c r="L7" s="653" t="s">
        <v>300</v>
      </c>
      <c r="M7" s="656" t="s">
        <v>415</v>
      </c>
      <c r="N7" s="714">
        <v>7</v>
      </c>
      <c r="O7" s="711" t="s">
        <v>20</v>
      </c>
      <c r="P7" s="646" t="s">
        <v>20</v>
      </c>
      <c r="Q7" s="924">
        <f>Q3+Q4</f>
        <v>0</v>
      </c>
      <c r="R7" s="718"/>
      <c r="S7" s="718"/>
      <c r="T7" s="718"/>
      <c r="U7" s="718"/>
      <c r="V7" s="642">
        <f t="shared" si="3"/>
        <v>5</v>
      </c>
    </row>
    <row r="8" spans="1:22" ht="15.75" thickBot="1" x14ac:dyDescent="0.3">
      <c r="A8" s="651">
        <v>44415</v>
      </c>
      <c r="B8" s="657" t="str">
        <f t="shared" si="0"/>
        <v>So</v>
      </c>
      <c r="C8" s="748">
        <f t="shared" si="4"/>
        <v>0.3125</v>
      </c>
      <c r="D8" s="837">
        <f t="shared" si="1"/>
        <v>30</v>
      </c>
      <c r="E8" s="724">
        <v>0.29166666666666669</v>
      </c>
      <c r="F8" s="726">
        <f>TIME(0,30,0)</f>
        <v>2.0833333333333332E-2</v>
      </c>
      <c r="G8" s="727">
        <v>0.625</v>
      </c>
      <c r="H8" s="654"/>
      <c r="I8" s="656" t="s">
        <v>409</v>
      </c>
      <c r="J8" s="653" t="s">
        <v>301</v>
      </c>
      <c r="K8" s="657"/>
      <c r="L8" s="653" t="s">
        <v>300</v>
      </c>
      <c r="M8" s="656" t="s">
        <v>415</v>
      </c>
      <c r="N8" s="714">
        <v>4</v>
      </c>
      <c r="O8" s="711" t="s">
        <v>22</v>
      </c>
      <c r="P8" s="646" t="s">
        <v>22</v>
      </c>
      <c r="Q8" s="657" t="s">
        <v>229</v>
      </c>
      <c r="R8" s="718"/>
      <c r="S8" s="718"/>
      <c r="T8" s="718"/>
      <c r="U8" s="718"/>
      <c r="V8" s="642">
        <f t="shared" si="3"/>
        <v>6</v>
      </c>
    </row>
    <row r="9" spans="1:22" ht="15.75" thickBot="1" x14ac:dyDescent="0.3">
      <c r="A9" s="651">
        <v>44416</v>
      </c>
      <c r="B9" s="657" t="str">
        <f t="shared" si="0"/>
        <v>Ne</v>
      </c>
      <c r="C9" s="748">
        <f t="shared" si="4"/>
        <v>0.375</v>
      </c>
      <c r="D9" s="837">
        <f t="shared" si="1"/>
        <v>0</v>
      </c>
      <c r="E9" s="724">
        <v>0.33333333333333331</v>
      </c>
      <c r="F9" s="726">
        <f>TIME(1,0,0)</f>
        <v>4.1666666666666664E-2</v>
      </c>
      <c r="G9" s="727">
        <v>0.75</v>
      </c>
      <c r="H9" s="654"/>
      <c r="I9" s="656" t="s">
        <v>409</v>
      </c>
      <c r="J9" s="653" t="s">
        <v>301</v>
      </c>
      <c r="K9" s="657"/>
      <c r="L9" s="653" t="s">
        <v>300</v>
      </c>
      <c r="M9" s="656" t="s">
        <v>415</v>
      </c>
      <c r="N9" s="714">
        <v>0</v>
      </c>
      <c r="O9" s="711" t="s">
        <v>23</v>
      </c>
      <c r="P9" s="646" t="s">
        <v>23</v>
      </c>
      <c r="Q9" s="851">
        <f>SUM(Q2:Q4)</f>
        <v>49951</v>
      </c>
      <c r="R9" s="718"/>
      <c r="S9" s="718"/>
      <c r="T9" s="718"/>
      <c r="U9" s="718"/>
      <c r="V9" s="642">
        <f t="shared" si="3"/>
        <v>7</v>
      </c>
    </row>
    <row r="10" spans="1:22" ht="15.75" thickBot="1" x14ac:dyDescent="0.3">
      <c r="A10" s="651">
        <v>44417</v>
      </c>
      <c r="B10" s="657" t="str">
        <f t="shared" si="0"/>
        <v>Po</v>
      </c>
      <c r="C10" s="748">
        <f t="shared" si="4"/>
        <v>0.47916666666666663</v>
      </c>
      <c r="D10" s="837">
        <f t="shared" si="1"/>
        <v>46</v>
      </c>
      <c r="E10" s="724">
        <v>0.29166666666666669</v>
      </c>
      <c r="F10" s="726">
        <f t="shared" ref="F10:F15" si="5">TIME(0,30,0)</f>
        <v>2.0833333333333332E-2</v>
      </c>
      <c r="G10" s="727">
        <v>0.79166666666666663</v>
      </c>
      <c r="H10" s="654"/>
      <c r="I10" s="656" t="s">
        <v>409</v>
      </c>
      <c r="J10" s="653" t="s">
        <v>301</v>
      </c>
      <c r="K10" s="657"/>
      <c r="L10" s="653" t="s">
        <v>300</v>
      </c>
      <c r="M10" s="656" t="s">
        <v>415</v>
      </c>
      <c r="N10" s="714">
        <v>4</v>
      </c>
      <c r="O10" s="738">
        <f>(O2*380)+U2</f>
        <v>91010</v>
      </c>
      <c r="P10" s="747">
        <f>SUM(P2*380)</f>
        <v>91010</v>
      </c>
      <c r="Q10" s="719"/>
      <c r="R10" s="718"/>
      <c r="S10" s="718"/>
      <c r="T10" s="718"/>
      <c r="U10" s="718"/>
      <c r="V10" s="642">
        <f t="shared" si="3"/>
        <v>1</v>
      </c>
    </row>
    <row r="11" spans="1:22" ht="15.75" thickBot="1" x14ac:dyDescent="0.3">
      <c r="A11" s="651">
        <v>44418</v>
      </c>
      <c r="B11" s="657" t="str">
        <f t="shared" si="0"/>
        <v>Út</v>
      </c>
      <c r="C11" s="748">
        <f t="shared" si="4"/>
        <v>0.47916666666666663</v>
      </c>
      <c r="D11" s="837">
        <f t="shared" si="1"/>
        <v>46</v>
      </c>
      <c r="E11" s="724">
        <v>0.29166666666666669</v>
      </c>
      <c r="F11" s="726">
        <f t="shared" si="5"/>
        <v>2.0833333333333332E-2</v>
      </c>
      <c r="G11" s="727">
        <v>0.79166666666666663</v>
      </c>
      <c r="H11" s="654"/>
      <c r="I11" s="656" t="s">
        <v>409</v>
      </c>
      <c r="J11" s="653" t="s">
        <v>301</v>
      </c>
      <c r="K11" s="657"/>
      <c r="L11" s="653" t="s">
        <v>300</v>
      </c>
      <c r="M11" s="656" t="s">
        <v>415</v>
      </c>
      <c r="N11" s="714">
        <v>4</v>
      </c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3"/>
        <v>2</v>
      </c>
    </row>
    <row r="12" spans="1:22" ht="15.75" thickBot="1" x14ac:dyDescent="0.3">
      <c r="A12" s="651">
        <v>44419</v>
      </c>
      <c r="B12" s="657" t="str">
        <f t="shared" si="0"/>
        <v>St</v>
      </c>
      <c r="C12" s="748">
        <f t="shared" si="4"/>
        <v>0.47916666666666663</v>
      </c>
      <c r="D12" s="837">
        <f t="shared" si="1"/>
        <v>46</v>
      </c>
      <c r="E12" s="724">
        <v>0.29166666666666669</v>
      </c>
      <c r="F12" s="726">
        <f t="shared" si="5"/>
        <v>2.0833333333333332E-2</v>
      </c>
      <c r="G12" s="727">
        <v>0.79166666666666663</v>
      </c>
      <c r="H12" s="654"/>
      <c r="I12" s="656" t="s">
        <v>409</v>
      </c>
      <c r="J12" s="653" t="s">
        <v>301</v>
      </c>
      <c r="K12" s="657"/>
      <c r="L12" s="653" t="s">
        <v>300</v>
      </c>
      <c r="M12" s="656" t="s">
        <v>415</v>
      </c>
      <c r="N12" s="714">
        <v>4</v>
      </c>
      <c r="O12" s="738">
        <f>(O10+O20+O18-O22)-O14-P24</f>
        <v>43156.171699999992</v>
      </c>
      <c r="P12" s="747">
        <f>(P10+P18+P20-P22)-P14-P24</f>
        <v>43158.979999999996</v>
      </c>
      <c r="Q12" s="718"/>
      <c r="R12" s="718"/>
      <c r="S12" s="718"/>
      <c r="T12" s="718"/>
      <c r="U12" s="718"/>
      <c r="V12" s="642">
        <f t="shared" si="3"/>
        <v>3</v>
      </c>
    </row>
    <row r="13" spans="1:22" ht="15.75" thickBot="1" x14ac:dyDescent="0.3">
      <c r="A13" s="651">
        <v>44420</v>
      </c>
      <c r="B13" s="657" t="str">
        <f t="shared" si="0"/>
        <v>Čt</v>
      </c>
      <c r="C13" s="748">
        <f t="shared" si="4"/>
        <v>0.47916666666666663</v>
      </c>
      <c r="D13" s="837">
        <f t="shared" si="1"/>
        <v>0</v>
      </c>
      <c r="E13" s="724">
        <v>0.29166666666666669</v>
      </c>
      <c r="F13" s="726">
        <f t="shared" si="5"/>
        <v>2.0833333333333332E-2</v>
      </c>
      <c r="G13" s="727">
        <v>0.79166666666666663</v>
      </c>
      <c r="H13" s="654"/>
      <c r="I13" s="656" t="s">
        <v>409</v>
      </c>
      <c r="J13" s="653" t="s">
        <v>301</v>
      </c>
      <c r="K13" s="657"/>
      <c r="L13" s="653" t="s">
        <v>300</v>
      </c>
      <c r="M13" s="656" t="s">
        <v>415</v>
      </c>
      <c r="N13" s="714">
        <v>0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3"/>
        <v>4</v>
      </c>
    </row>
    <row r="14" spans="1:22" ht="15.75" thickBot="1" x14ac:dyDescent="0.3">
      <c r="A14" s="651">
        <v>44421</v>
      </c>
      <c r="B14" s="657" t="str">
        <f t="shared" si="0"/>
        <v>Pá</v>
      </c>
      <c r="C14" s="748">
        <f t="shared" si="4"/>
        <v>0.47916666666666663</v>
      </c>
      <c r="D14" s="837">
        <f t="shared" si="1"/>
        <v>0</v>
      </c>
      <c r="E14" s="724">
        <v>0.29166666666666669</v>
      </c>
      <c r="F14" s="726">
        <f t="shared" si="5"/>
        <v>2.0833333333333332E-2</v>
      </c>
      <c r="G14" s="727">
        <v>0.79166666666666663</v>
      </c>
      <c r="H14" s="654"/>
      <c r="I14" s="656" t="s">
        <v>409</v>
      </c>
      <c r="J14" s="653" t="s">
        <v>301</v>
      </c>
      <c r="K14" s="657"/>
      <c r="L14" s="653" t="s">
        <v>300</v>
      </c>
      <c r="M14" s="656" t="s">
        <v>415</v>
      </c>
      <c r="N14" s="714">
        <v>0</v>
      </c>
      <c r="O14" s="738">
        <f>(O16*25.53)</f>
        <v>13635.828300000005</v>
      </c>
      <c r="P14" s="747">
        <f>(P16*25.53)</f>
        <v>13633.02</v>
      </c>
      <c r="Q14" s="923" t="s">
        <v>458</v>
      </c>
      <c r="R14" s="1004">
        <f>P14+P22-P18</f>
        <v>20643.02</v>
      </c>
      <c r="S14" s="1007"/>
      <c r="T14" s="923" t="s">
        <v>456</v>
      </c>
      <c r="U14" s="1004">
        <f>P14+P22</f>
        <v>22753.02</v>
      </c>
      <c r="V14" s="642">
        <f t="shared" si="3"/>
        <v>5</v>
      </c>
    </row>
    <row r="15" spans="1:22" ht="15.75" thickBot="1" x14ac:dyDescent="0.3">
      <c r="A15" s="651">
        <v>44422</v>
      </c>
      <c r="B15" s="657" t="str">
        <f t="shared" si="0"/>
        <v>So</v>
      </c>
      <c r="C15" s="748">
        <f t="shared" si="4"/>
        <v>0.3125</v>
      </c>
      <c r="D15" s="837">
        <f t="shared" si="1"/>
        <v>0</v>
      </c>
      <c r="E15" s="724">
        <v>0.29166666666666669</v>
      </c>
      <c r="F15" s="726">
        <f t="shared" si="5"/>
        <v>2.0833333333333332E-2</v>
      </c>
      <c r="G15" s="727">
        <v>0.625</v>
      </c>
      <c r="H15" s="654"/>
      <c r="I15" s="656" t="s">
        <v>409</v>
      </c>
      <c r="J15" s="653" t="s">
        <v>301</v>
      </c>
      <c r="K15" s="657"/>
      <c r="L15" s="653" t="s">
        <v>300</v>
      </c>
      <c r="M15" s="656" t="s">
        <v>415</v>
      </c>
      <c r="N15" s="714">
        <v>0</v>
      </c>
      <c r="O15" s="711" t="s">
        <v>29</v>
      </c>
      <c r="P15" s="646" t="s">
        <v>29</v>
      </c>
      <c r="Q15" s="1001" t="s">
        <v>459</v>
      </c>
      <c r="R15" s="1002">
        <f>P10</f>
        <v>91010</v>
      </c>
      <c r="S15" s="1008"/>
      <c r="T15" s="1001" t="s">
        <v>457</v>
      </c>
      <c r="U15" s="1002">
        <f>P10+P18+P20</f>
        <v>93120</v>
      </c>
      <c r="V15" s="642">
        <f t="shared" si="3"/>
        <v>6</v>
      </c>
    </row>
    <row r="16" spans="1:22" ht="15.75" thickBot="1" x14ac:dyDescent="0.3">
      <c r="A16" s="651">
        <v>44423</v>
      </c>
      <c r="B16" s="657" t="str">
        <f t="shared" si="0"/>
        <v>Ne</v>
      </c>
      <c r="C16" s="748">
        <f t="shared" si="4"/>
        <v>0</v>
      </c>
      <c r="D16" s="837">
        <f t="shared" si="1"/>
        <v>0</v>
      </c>
      <c r="E16" s="724"/>
      <c r="F16" s="726"/>
      <c r="G16" s="727"/>
      <c r="H16" s="654"/>
      <c r="I16" s="656" t="s">
        <v>409</v>
      </c>
      <c r="J16" s="653" t="s">
        <v>301</v>
      </c>
      <c r="K16" s="657"/>
      <c r="L16" s="653" t="s">
        <v>300</v>
      </c>
      <c r="M16" s="656" t="s">
        <v>415</v>
      </c>
      <c r="N16" s="714">
        <v>0</v>
      </c>
      <c r="O16" s="893">
        <f>'05cash21'!O37+'06cash21'!O36+30</f>
        <v>534.11000000000013</v>
      </c>
      <c r="P16" s="894">
        <v>534</v>
      </c>
      <c r="Q16" s="1001"/>
      <c r="R16" s="1003">
        <f>R15-R14</f>
        <v>70366.98</v>
      </c>
      <c r="S16" s="1008"/>
      <c r="T16" s="1001"/>
      <c r="U16" s="1002">
        <f>U15-U14</f>
        <v>70366.98</v>
      </c>
      <c r="V16" s="642">
        <f t="shared" si="3"/>
        <v>7</v>
      </c>
    </row>
    <row r="17" spans="1:22" ht="15.75" thickBot="1" x14ac:dyDescent="0.3">
      <c r="A17" s="651">
        <v>44424</v>
      </c>
      <c r="B17" s="657" t="str">
        <f t="shared" si="0"/>
        <v>Po</v>
      </c>
      <c r="C17" s="748">
        <f t="shared" si="4"/>
        <v>0.47916666666666663</v>
      </c>
      <c r="D17" s="837">
        <f t="shared" si="1"/>
        <v>0</v>
      </c>
      <c r="E17" s="724">
        <v>0.29166666666666669</v>
      </c>
      <c r="F17" s="726">
        <f>TIME(0,30,0)</f>
        <v>2.0833333333333332E-2</v>
      </c>
      <c r="G17" s="727">
        <v>0.79166666666666663</v>
      </c>
      <c r="H17" s="654"/>
      <c r="I17" s="656" t="s">
        <v>409</v>
      </c>
      <c r="J17" s="653" t="s">
        <v>301</v>
      </c>
      <c r="K17" s="657"/>
      <c r="L17" s="653" t="s">
        <v>300</v>
      </c>
      <c r="M17" s="656" t="s">
        <v>415</v>
      </c>
      <c r="N17" s="714">
        <v>0</v>
      </c>
      <c r="O17" s="711" t="s">
        <v>31</v>
      </c>
      <c r="P17" s="646" t="s">
        <v>31</v>
      </c>
      <c r="Q17" s="1002">
        <f>R16-Q5</f>
        <v>38886.979999999996</v>
      </c>
      <c r="R17" s="1001"/>
      <c r="S17" s="1009"/>
      <c r="T17" s="1002">
        <f>U16-Q5</f>
        <v>38886.979999999996</v>
      </c>
      <c r="U17" s="1001"/>
      <c r="V17" s="642">
        <f t="shared" si="3"/>
        <v>1</v>
      </c>
    </row>
    <row r="18" spans="1:22" ht="15.75" thickBot="1" x14ac:dyDescent="0.3">
      <c r="A18" s="651">
        <v>44425</v>
      </c>
      <c r="B18" s="657" t="str">
        <f t="shared" si="0"/>
        <v>Út</v>
      </c>
      <c r="C18" s="748">
        <f t="shared" si="4"/>
        <v>0.52083333333333337</v>
      </c>
      <c r="D18" s="837">
        <f t="shared" si="1"/>
        <v>0</v>
      </c>
      <c r="E18" s="724">
        <v>0.29166666666666669</v>
      </c>
      <c r="F18" s="726">
        <f>TIME(1,0,0)</f>
        <v>4.1666666666666664E-2</v>
      </c>
      <c r="G18" s="727">
        <v>0.85416666666666663</v>
      </c>
      <c r="H18" s="654"/>
      <c r="I18" s="656" t="s">
        <v>409</v>
      </c>
      <c r="J18" s="653" t="s">
        <v>301</v>
      </c>
      <c r="K18" s="657"/>
      <c r="L18" s="653" t="s">
        <v>300</v>
      </c>
      <c r="M18" s="656" t="s">
        <v>415</v>
      </c>
      <c r="N18" s="714">
        <v>0</v>
      </c>
      <c r="O18" s="738">
        <v>2110</v>
      </c>
      <c r="P18" s="747">
        <v>2110</v>
      </c>
      <c r="Q18" s="1001"/>
      <c r="R18" s="1001"/>
      <c r="S18" s="1008"/>
      <c r="T18" s="1001"/>
      <c r="U18" s="1001"/>
      <c r="V18" s="642">
        <f t="shared" si="3"/>
        <v>2</v>
      </c>
    </row>
    <row r="19" spans="1:22" ht="15.75" thickBot="1" x14ac:dyDescent="0.3">
      <c r="A19" s="651">
        <v>44426</v>
      </c>
      <c r="B19" s="657" t="str">
        <f t="shared" si="0"/>
        <v>St</v>
      </c>
      <c r="C19" s="748">
        <f t="shared" si="4"/>
        <v>0.52083333333333337</v>
      </c>
      <c r="D19" s="837">
        <f t="shared" si="1"/>
        <v>0</v>
      </c>
      <c r="E19" s="724">
        <v>0.33333333333333331</v>
      </c>
      <c r="F19" s="726">
        <f>TIME(1,0,0)</f>
        <v>4.1666666666666664E-2</v>
      </c>
      <c r="G19" s="727">
        <v>0.89583333333333337</v>
      </c>
      <c r="H19" s="654"/>
      <c r="I19" s="656" t="s">
        <v>409</v>
      </c>
      <c r="J19" s="653" t="s">
        <v>301</v>
      </c>
      <c r="K19" s="657"/>
      <c r="L19" s="653" t="s">
        <v>300</v>
      </c>
      <c r="M19" s="656" t="s">
        <v>415</v>
      </c>
      <c r="N19" s="714">
        <v>0</v>
      </c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3"/>
        <v>3</v>
      </c>
    </row>
    <row r="20" spans="1:22" ht="15.75" thickBot="1" x14ac:dyDescent="0.3">
      <c r="A20" s="651">
        <v>44427</v>
      </c>
      <c r="B20" s="657" t="str">
        <f t="shared" si="0"/>
        <v>Čt</v>
      </c>
      <c r="C20" s="748">
        <f t="shared" si="4"/>
        <v>0.54166666666666663</v>
      </c>
      <c r="D20" s="837">
        <f t="shared" si="1"/>
        <v>0</v>
      </c>
      <c r="E20" s="724">
        <v>0.29166666666666669</v>
      </c>
      <c r="F20" s="726">
        <f>TIME(1,0,0)</f>
        <v>4.1666666666666664E-2</v>
      </c>
      <c r="G20" s="727">
        <v>0.875</v>
      </c>
      <c r="H20" s="654"/>
      <c r="I20" s="656" t="s">
        <v>409</v>
      </c>
      <c r="J20" s="653" t="s">
        <v>301</v>
      </c>
      <c r="K20" s="657"/>
      <c r="L20" s="653" t="s">
        <v>300</v>
      </c>
      <c r="M20" s="656" t="s">
        <v>415</v>
      </c>
      <c r="N20" s="714">
        <v>0</v>
      </c>
      <c r="O20" s="738"/>
      <c r="P20" s="747"/>
      <c r="Q20" s="1001"/>
      <c r="R20" s="1001"/>
      <c r="S20" s="1008"/>
      <c r="T20" s="1001"/>
      <c r="U20" s="1001"/>
      <c r="V20" s="642">
        <f t="shared" si="3"/>
        <v>4</v>
      </c>
    </row>
    <row r="21" spans="1:22" ht="15.75" thickBot="1" x14ac:dyDescent="0.3">
      <c r="A21" s="651">
        <v>44428</v>
      </c>
      <c r="B21" s="657" t="str">
        <f t="shared" si="0"/>
        <v>Pá</v>
      </c>
      <c r="C21" s="748">
        <f t="shared" si="4"/>
        <v>0.50000000000000011</v>
      </c>
      <c r="D21" s="837">
        <f t="shared" si="1"/>
        <v>0</v>
      </c>
      <c r="E21" s="724">
        <v>0.29166666666666669</v>
      </c>
      <c r="F21" s="726">
        <f>TIME(1,0,0)</f>
        <v>4.1666666666666664E-2</v>
      </c>
      <c r="G21" s="727">
        <v>0.83333333333333337</v>
      </c>
      <c r="H21" s="654"/>
      <c r="I21" s="656" t="s">
        <v>409</v>
      </c>
      <c r="J21" s="653" t="s">
        <v>301</v>
      </c>
      <c r="K21" s="657"/>
      <c r="L21" s="653" t="s">
        <v>300</v>
      </c>
      <c r="M21" s="656" t="s">
        <v>415</v>
      </c>
      <c r="N21" s="714">
        <v>0</v>
      </c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3"/>
        <v>5</v>
      </c>
    </row>
    <row r="22" spans="1:22" ht="15.75" thickBot="1" x14ac:dyDescent="0.3">
      <c r="A22" s="651">
        <v>44429</v>
      </c>
      <c r="B22" s="657" t="str">
        <f t="shared" si="0"/>
        <v>So</v>
      </c>
      <c r="C22" s="748">
        <f t="shared" si="4"/>
        <v>0.41666666666666663</v>
      </c>
      <c r="D22" s="837">
        <f t="shared" si="1"/>
        <v>0</v>
      </c>
      <c r="E22" s="724">
        <v>0.29166666666666669</v>
      </c>
      <c r="F22" s="726">
        <f>TIME(0,30,0)</f>
        <v>2.0833333333333332E-2</v>
      </c>
      <c r="G22" s="727">
        <v>0.72916666666666663</v>
      </c>
      <c r="H22" s="654"/>
      <c r="I22" s="657" t="s">
        <v>409</v>
      </c>
      <c r="J22" s="654" t="s">
        <v>301</v>
      </c>
      <c r="K22" s="657"/>
      <c r="L22" s="654"/>
      <c r="M22" s="657"/>
      <c r="N22" s="714">
        <v>0</v>
      </c>
      <c r="O22" s="738">
        <v>9120</v>
      </c>
      <c r="P22" s="747">
        <v>9120</v>
      </c>
      <c r="Q22" s="1001"/>
      <c r="R22" s="1015">
        <f>Q17-Q24</f>
        <v>5266.9799999999959</v>
      </c>
      <c r="S22" s="1016">
        <f>T17-P24</f>
        <v>11678.979999999996</v>
      </c>
      <c r="T22" s="1001"/>
      <c r="U22" s="1001"/>
      <c r="V22" s="642">
        <f t="shared" si="3"/>
        <v>6</v>
      </c>
    </row>
    <row r="23" spans="1:22" ht="15.75" thickBot="1" x14ac:dyDescent="0.3">
      <c r="A23" s="651">
        <v>44430</v>
      </c>
      <c r="B23" s="657" t="str">
        <f t="shared" si="0"/>
        <v>Ne</v>
      </c>
      <c r="C23" s="748">
        <f t="shared" si="4"/>
        <v>0.47916666666666669</v>
      </c>
      <c r="D23" s="837">
        <f t="shared" si="1"/>
        <v>0</v>
      </c>
      <c r="E23" s="724">
        <v>0.33333333333333331</v>
      </c>
      <c r="F23" s="726">
        <f>TIME(0,30,0)</f>
        <v>2.0833333333333332E-2</v>
      </c>
      <c r="G23" s="727">
        <v>0.83333333333333337</v>
      </c>
      <c r="H23" s="654"/>
      <c r="I23" s="657" t="s">
        <v>409</v>
      </c>
      <c r="J23" s="654" t="s">
        <v>301</v>
      </c>
      <c r="K23" s="657"/>
      <c r="L23" s="654"/>
      <c r="M23" s="657"/>
      <c r="N23" s="714">
        <v>0</v>
      </c>
      <c r="O23" s="895" t="s">
        <v>364</v>
      </c>
      <c r="P23" s="1013" t="s">
        <v>363</v>
      </c>
      <c r="Q23" s="1011" t="s">
        <v>460</v>
      </c>
      <c r="R23" s="1001"/>
      <c r="S23" s="1008"/>
      <c r="T23" s="1001"/>
      <c r="U23" s="1001"/>
      <c r="V23" s="642">
        <f t="shared" si="3"/>
        <v>7</v>
      </c>
    </row>
    <row r="24" spans="1:22" ht="15.75" thickBot="1" x14ac:dyDescent="0.3">
      <c r="A24" s="651">
        <v>44431</v>
      </c>
      <c r="B24" s="657" t="str">
        <f t="shared" si="0"/>
        <v>Po</v>
      </c>
      <c r="C24" s="748">
        <f t="shared" si="4"/>
        <v>0</v>
      </c>
      <c r="D24" s="837">
        <f t="shared" si="1"/>
        <v>0</v>
      </c>
      <c r="E24" s="724"/>
      <c r="F24" s="726"/>
      <c r="G24" s="727"/>
      <c r="H24" s="654"/>
      <c r="I24" s="657"/>
      <c r="J24" s="654"/>
      <c r="K24" s="657"/>
      <c r="L24" s="654"/>
      <c r="M24" s="657"/>
      <c r="N24" s="714">
        <v>0</v>
      </c>
      <c r="O24" s="747">
        <f>P12-Q5</f>
        <v>11678.979999999996</v>
      </c>
      <c r="P24" s="1014">
        <f>O26-O28</f>
        <v>27208</v>
      </c>
      <c r="Q24" s="1012">
        <f>O26-P28</f>
        <v>33620</v>
      </c>
      <c r="R24" s="1006"/>
      <c r="S24" s="1010"/>
      <c r="T24" s="1005">
        <f>S22-R22</f>
        <v>6412</v>
      </c>
      <c r="U24" s="1006"/>
      <c r="V24" s="642">
        <f t="shared" si="3"/>
        <v>1</v>
      </c>
    </row>
    <row r="25" spans="1:22" ht="15.75" thickBot="1" x14ac:dyDescent="0.3">
      <c r="A25" s="651">
        <v>44432</v>
      </c>
      <c r="B25" s="657" t="str">
        <f t="shared" si="0"/>
        <v>Út</v>
      </c>
      <c r="C25" s="748">
        <f t="shared" si="4"/>
        <v>0</v>
      </c>
      <c r="D25" s="837">
        <f t="shared" si="1"/>
        <v>0</v>
      </c>
      <c r="E25" s="724"/>
      <c r="F25" s="726"/>
      <c r="G25" s="727"/>
      <c r="H25" s="654"/>
      <c r="I25" s="657"/>
      <c r="J25" s="654"/>
      <c r="K25" s="657"/>
      <c r="L25" s="654"/>
      <c r="M25" s="657"/>
      <c r="N25" s="714">
        <v>0</v>
      </c>
      <c r="O25" s="711" t="s">
        <v>372</v>
      </c>
      <c r="P25" s="646"/>
      <c r="Q25" s="1001"/>
      <c r="R25" s="1001"/>
      <c r="S25" s="1001"/>
      <c r="T25" s="1001"/>
      <c r="U25" s="1001"/>
      <c r="V25" s="642">
        <f t="shared" si="3"/>
        <v>2</v>
      </c>
    </row>
    <row r="26" spans="1:22" ht="15.75" thickBot="1" x14ac:dyDescent="0.3">
      <c r="A26" s="651">
        <v>44433</v>
      </c>
      <c r="B26" s="657" t="str">
        <f t="shared" si="0"/>
        <v>St</v>
      </c>
      <c r="C26" s="748">
        <f t="shared" si="4"/>
        <v>0</v>
      </c>
      <c r="D26" s="837">
        <f t="shared" si="1"/>
        <v>0</v>
      </c>
      <c r="E26" s="724"/>
      <c r="F26" s="726"/>
      <c r="G26" s="727"/>
      <c r="H26" s="654"/>
      <c r="I26" s="657"/>
      <c r="J26" s="654"/>
      <c r="K26" s="657"/>
      <c r="L26" s="654"/>
      <c r="M26" s="657"/>
      <c r="N26" s="714">
        <v>0</v>
      </c>
      <c r="O26" s="738">
        <v>66043</v>
      </c>
      <c r="P26" s="747"/>
      <c r="Q26" s="718"/>
      <c r="R26" s="718"/>
      <c r="S26" s="718"/>
      <c r="T26" s="718"/>
      <c r="U26" s="718"/>
      <c r="V26" s="642">
        <f t="shared" si="3"/>
        <v>3</v>
      </c>
    </row>
    <row r="27" spans="1:22" ht="15.75" thickBot="1" x14ac:dyDescent="0.3">
      <c r="A27" s="651">
        <v>44434</v>
      </c>
      <c r="B27" s="657" t="str">
        <f t="shared" si="0"/>
        <v>Čt</v>
      </c>
      <c r="C27" s="748">
        <f t="shared" si="4"/>
        <v>0</v>
      </c>
      <c r="D27" s="837">
        <f t="shared" si="1"/>
        <v>0</v>
      </c>
      <c r="E27" s="724"/>
      <c r="F27" s="726"/>
      <c r="G27" s="727"/>
      <c r="H27" s="654"/>
      <c r="I27" s="657"/>
      <c r="J27" s="654"/>
      <c r="K27" s="657"/>
      <c r="L27" s="654"/>
      <c r="M27" s="657"/>
      <c r="N27" s="714">
        <v>0</v>
      </c>
      <c r="O27" s="711" t="s">
        <v>373</v>
      </c>
      <c r="P27" s="646"/>
      <c r="Q27" s="718"/>
      <c r="R27" s="718"/>
      <c r="S27" s="718"/>
      <c r="T27" s="718"/>
      <c r="U27" s="718"/>
      <c r="V27" s="642">
        <f t="shared" si="3"/>
        <v>4</v>
      </c>
    </row>
    <row r="28" spans="1:22" ht="15.75" thickBot="1" x14ac:dyDescent="0.3">
      <c r="A28" s="651">
        <v>44435</v>
      </c>
      <c r="B28" s="657" t="str">
        <f t="shared" si="0"/>
        <v>Pá</v>
      </c>
      <c r="C28" s="748">
        <f t="shared" si="4"/>
        <v>0</v>
      </c>
      <c r="D28" s="837">
        <f t="shared" si="1"/>
        <v>0</v>
      </c>
      <c r="E28" s="724"/>
      <c r="F28" s="726"/>
      <c r="G28" s="727"/>
      <c r="H28" s="654"/>
      <c r="I28" s="657"/>
      <c r="J28" s="654"/>
      <c r="K28" s="657"/>
      <c r="L28" s="654"/>
      <c r="M28" s="657"/>
      <c r="N28" s="714">
        <v>0</v>
      </c>
      <c r="O28" s="738">
        <f>'07hod21'!O26</f>
        <v>38835</v>
      </c>
      <c r="P28" s="646">
        <v>32423</v>
      </c>
      <c r="Q28" s="718"/>
      <c r="R28" s="718"/>
      <c r="S28" s="718"/>
      <c r="T28" s="718"/>
      <c r="U28" s="718"/>
      <c r="V28" s="642">
        <f t="shared" si="3"/>
        <v>5</v>
      </c>
    </row>
    <row r="29" spans="1:22" ht="15.75" thickBot="1" x14ac:dyDescent="0.3">
      <c r="A29" s="651">
        <v>44436</v>
      </c>
      <c r="B29" s="657" t="str">
        <f t="shared" si="0"/>
        <v>So</v>
      </c>
      <c r="C29" s="748">
        <f t="shared" si="4"/>
        <v>0</v>
      </c>
      <c r="D29" s="837">
        <f t="shared" si="1"/>
        <v>0</v>
      </c>
      <c r="E29" s="724"/>
      <c r="F29" s="726"/>
      <c r="G29" s="727"/>
      <c r="H29" s="654"/>
      <c r="I29" s="657"/>
      <c r="J29" s="654"/>
      <c r="K29" s="657"/>
      <c r="L29" s="654"/>
      <c r="M29" s="657"/>
      <c r="N29" s="714">
        <v>0</v>
      </c>
      <c r="O29" s="712"/>
      <c r="P29" s="648"/>
      <c r="Q29" s="718"/>
      <c r="R29" s="718"/>
      <c r="S29" s="718"/>
      <c r="T29" s="718"/>
      <c r="U29" s="718"/>
      <c r="V29" s="642">
        <f t="shared" si="3"/>
        <v>6</v>
      </c>
    </row>
    <row r="30" spans="1:22" ht="15.75" thickBot="1" x14ac:dyDescent="0.3">
      <c r="A30" s="651">
        <v>44437</v>
      </c>
      <c r="B30" s="657" t="str">
        <f t="shared" si="0"/>
        <v>Ne</v>
      </c>
      <c r="C30" s="748">
        <f t="shared" si="4"/>
        <v>0</v>
      </c>
      <c r="D30" s="837">
        <f t="shared" si="1"/>
        <v>0</v>
      </c>
      <c r="E30" s="724"/>
      <c r="F30" s="726"/>
      <c r="G30" s="727"/>
      <c r="H30" s="654"/>
      <c r="I30" s="657"/>
      <c r="J30" s="654"/>
      <c r="K30" s="657"/>
      <c r="L30" s="654"/>
      <c r="M30" s="657"/>
      <c r="N30" s="708">
        <v>0</v>
      </c>
      <c r="O30" s="715"/>
      <c r="P30" s="720"/>
      <c r="Q30" s="718"/>
      <c r="R30" s="718"/>
      <c r="S30" s="718"/>
      <c r="T30" s="718"/>
      <c r="U30" s="718"/>
      <c r="V30" s="642">
        <f t="shared" si="3"/>
        <v>7</v>
      </c>
    </row>
    <row r="31" spans="1:22" ht="15.75" thickBot="1" x14ac:dyDescent="0.3">
      <c r="A31" s="651">
        <v>44438</v>
      </c>
      <c r="B31" s="657" t="str">
        <f t="shared" si="0"/>
        <v>Po</v>
      </c>
      <c r="C31" s="748">
        <f t="shared" si="4"/>
        <v>0.39583333333333331</v>
      </c>
      <c r="D31" s="837">
        <f t="shared" si="1"/>
        <v>38</v>
      </c>
      <c r="E31" s="724">
        <v>0.3125</v>
      </c>
      <c r="F31" s="726">
        <f>TIME(1,0,0)</f>
        <v>4.1666666666666664E-2</v>
      </c>
      <c r="G31" s="727">
        <v>0.75</v>
      </c>
      <c r="H31" s="654"/>
      <c r="I31" s="657" t="s">
        <v>422</v>
      </c>
      <c r="J31" s="654" t="s">
        <v>301</v>
      </c>
      <c r="K31" s="657" t="s">
        <v>326</v>
      </c>
      <c r="L31" s="654" t="s">
        <v>300</v>
      </c>
      <c r="M31" s="657" t="s">
        <v>423</v>
      </c>
      <c r="N31" s="708">
        <v>4</v>
      </c>
      <c r="O31" s="649"/>
      <c r="P31" s="646"/>
      <c r="Q31" s="718"/>
      <c r="R31" s="718"/>
      <c r="S31" s="718"/>
      <c r="T31" s="718"/>
      <c r="U31" s="718"/>
      <c r="V31" s="642">
        <f t="shared" si="3"/>
        <v>1</v>
      </c>
    </row>
    <row r="32" spans="1:22" ht="15.75" thickBot="1" x14ac:dyDescent="0.3">
      <c r="A32" s="651">
        <v>44439</v>
      </c>
      <c r="B32" s="657" t="str">
        <f t="shared" si="0"/>
        <v>Út</v>
      </c>
      <c r="C32" s="748">
        <f t="shared" si="4"/>
        <v>0.41666666666666663</v>
      </c>
      <c r="D32" s="837">
        <f t="shared" si="1"/>
        <v>40</v>
      </c>
      <c r="E32" s="724">
        <v>0.29166666666666669</v>
      </c>
      <c r="F32" s="726">
        <f>TIME(1,0,0)</f>
        <v>4.1666666666666664E-2</v>
      </c>
      <c r="G32" s="727">
        <v>0.75</v>
      </c>
      <c r="H32" s="654"/>
      <c r="I32" s="657" t="s">
        <v>422</v>
      </c>
      <c r="J32" s="654" t="s">
        <v>301</v>
      </c>
      <c r="K32" s="657" t="s">
        <v>326</v>
      </c>
      <c r="L32" s="654" t="s">
        <v>300</v>
      </c>
      <c r="M32" s="657" t="s">
        <v>423</v>
      </c>
      <c r="N32" s="708">
        <v>4</v>
      </c>
      <c r="O32" s="649"/>
      <c r="P32" s="646"/>
      <c r="Q32" s="718"/>
      <c r="R32" s="718"/>
      <c r="S32" s="718"/>
      <c r="T32" s="718"/>
      <c r="U32" s="718"/>
      <c r="V32" s="642">
        <f t="shared" si="3"/>
        <v>2</v>
      </c>
    </row>
    <row r="33" spans="1:22" ht="15.75" thickBot="1" x14ac:dyDescent="0.3">
      <c r="A33" s="651">
        <v>44440</v>
      </c>
      <c r="B33" s="657" t="str">
        <f t="shared" si="0"/>
        <v>St</v>
      </c>
      <c r="C33" s="748">
        <f t="shared" si="4"/>
        <v>0</v>
      </c>
      <c r="D33" s="837">
        <f t="shared" si="1"/>
        <v>0</v>
      </c>
      <c r="E33" s="724"/>
      <c r="F33" s="726"/>
      <c r="G33" s="727"/>
      <c r="H33" s="654"/>
      <c r="I33" s="657"/>
      <c r="J33" s="654"/>
      <c r="K33" s="657"/>
      <c r="L33" s="654"/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3</v>
      </c>
    </row>
    <row r="34" spans="1:22" ht="15.75" thickBot="1" x14ac:dyDescent="0.3">
      <c r="A34" s="651">
        <v>44441</v>
      </c>
      <c r="B34" s="657" t="str">
        <f t="shared" si="0"/>
        <v>Čt</v>
      </c>
      <c r="C34" s="748">
        <f t="shared" si="4"/>
        <v>0</v>
      </c>
      <c r="D34" s="837">
        <f t="shared" si="1"/>
        <v>0</v>
      </c>
      <c r="E34" s="724"/>
      <c r="F34" s="726"/>
      <c r="G34" s="727"/>
      <c r="H34" s="654"/>
      <c r="I34" s="657"/>
      <c r="J34" s="654"/>
      <c r="K34" s="657"/>
      <c r="L34" s="654"/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6">WEEKDAY(A34,2)</f>
        <v>4</v>
      </c>
    </row>
    <row r="35" spans="1:22" ht="15.75" thickBot="1" x14ac:dyDescent="0.3">
      <c r="A35" s="651">
        <v>44442</v>
      </c>
      <c r="B35" s="658" t="str">
        <f t="shared" si="0"/>
        <v>Pá</v>
      </c>
      <c r="C35" s="748">
        <f t="shared" si="4"/>
        <v>0</v>
      </c>
      <c r="D35" s="838">
        <f t="shared" si="1"/>
        <v>0</v>
      </c>
      <c r="E35" s="725"/>
      <c r="F35" s="726"/>
      <c r="G35" s="728"/>
      <c r="H35" s="655"/>
      <c r="I35" s="658"/>
      <c r="J35" s="655"/>
      <c r="K35" s="658"/>
      <c r="L35" s="655"/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6"/>
        <v>5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9.9791666666666661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honeticPr fontId="30" alignment="center"/>
  <pageMargins left="0.7" right="0.7" top="0.75" bottom="0.75" header="0.3" footer="0.3"/>
  <drawing r:id="rId1"/>
  <tableParts count="1">
    <tablePart r:id="rId2"/>
  </tableParts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8E8C2-E7F0-DB42-9D9C-B7047348C107}">
  <dimension ref="A1:V45"/>
  <sheetViews>
    <sheetView topLeftCell="AC1" zoomScaleNormal="60" zoomScaleSheetLayoutView="100" workbookViewId="0">
      <selection activeCell="R14" sqref="R14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0" bestFit="1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425781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44440</v>
      </c>
      <c r="B2" s="656" t="str">
        <f t="shared" ref="B2:B35" si="0">CHOOSE(WEEKDAY(V2),"Po","Út","St","Čt","Pá","So","Ne")</f>
        <v>St</v>
      </c>
      <c r="C2" s="748">
        <f t="shared" ref="C2:C35" si="1">G2-E2-F2</f>
        <v>0.41666666666666663</v>
      </c>
      <c r="D2" s="836">
        <f t="shared" ref="D2:D35" si="2">(N2*C2)*24</f>
        <v>40</v>
      </c>
      <c r="E2" s="723">
        <v>0.29166666666666669</v>
      </c>
      <c r="F2" s="726">
        <f t="shared" ref="F2:F3" si="3">TIME(1,0,0)</f>
        <v>4.1666666666666664E-2</v>
      </c>
      <c r="G2" s="726">
        <v>0.75</v>
      </c>
      <c r="H2" s="653"/>
      <c r="I2" s="656"/>
      <c r="J2" s="653"/>
      <c r="K2" s="656"/>
      <c r="L2" s="653"/>
      <c r="M2" s="656" t="s">
        <v>16</v>
      </c>
      <c r="N2" s="713">
        <v>4</v>
      </c>
      <c r="O2" s="834">
        <v>222.5</v>
      </c>
      <c r="P2" s="716">
        <f t="shared" ref="P2" si="4">P4+P6</f>
        <v>222.5</v>
      </c>
      <c r="Q2" s="853">
        <f>'08hod21'!Q5</f>
        <v>31480</v>
      </c>
      <c r="R2" s="644" t="s">
        <v>17</v>
      </c>
      <c r="S2" s="644" t="s">
        <v>424</v>
      </c>
      <c r="T2" s="875">
        <v>44455</v>
      </c>
      <c r="U2" s="722">
        <f>T7*20</f>
        <v>0</v>
      </c>
      <c r="V2" s="642">
        <f t="shared" ref="V2:V32" si="5">WEEKDAY(A2,2)</f>
        <v>3</v>
      </c>
    </row>
    <row r="3" spans="1:22" ht="15.75" thickBot="1" x14ac:dyDescent="0.3">
      <c r="A3" s="651">
        <v>44441</v>
      </c>
      <c r="B3" s="657" t="str">
        <f t="shared" si="0"/>
        <v>Čt</v>
      </c>
      <c r="C3" s="748">
        <f t="shared" si="1"/>
        <v>0.41666666666666663</v>
      </c>
      <c r="D3" s="837">
        <f t="shared" si="2"/>
        <v>40</v>
      </c>
      <c r="E3" s="724">
        <v>0.29166666666666669</v>
      </c>
      <c r="F3" s="726">
        <f t="shared" si="3"/>
        <v>4.1666666666666664E-2</v>
      </c>
      <c r="G3" s="727">
        <v>0.75</v>
      </c>
      <c r="H3" s="654"/>
      <c r="I3" s="657"/>
      <c r="J3" s="654"/>
      <c r="K3" s="657"/>
      <c r="L3" s="654"/>
      <c r="M3" s="657" t="s">
        <v>16</v>
      </c>
      <c r="N3" s="714">
        <v>4</v>
      </c>
      <c r="O3" s="711" t="s">
        <v>19</v>
      </c>
      <c r="P3" s="717" t="s">
        <v>19</v>
      </c>
      <c r="Q3" s="738">
        <v>0</v>
      </c>
      <c r="R3" s="611" t="s">
        <v>17</v>
      </c>
      <c r="S3" s="611" t="s">
        <v>210</v>
      </c>
      <c r="T3" s="646"/>
      <c r="U3" s="718"/>
      <c r="V3" s="642">
        <f t="shared" si="5"/>
        <v>4</v>
      </c>
    </row>
    <row r="4" spans="1:22" ht="15.75" thickBot="1" x14ac:dyDescent="0.3">
      <c r="A4" s="651">
        <v>44442</v>
      </c>
      <c r="B4" s="657" t="str">
        <f t="shared" si="0"/>
        <v>Pá</v>
      </c>
      <c r="C4" s="748">
        <f t="shared" si="1"/>
        <v>0.41666666666666663</v>
      </c>
      <c r="D4" s="837">
        <f t="shared" si="2"/>
        <v>40</v>
      </c>
      <c r="E4" s="724">
        <v>0.29166666666666669</v>
      </c>
      <c r="F4" s="726">
        <f>TIME(1,0,0)</f>
        <v>4.1666666666666664E-2</v>
      </c>
      <c r="G4" s="727">
        <v>0.75</v>
      </c>
      <c r="H4" s="654"/>
      <c r="I4" s="657"/>
      <c r="J4" s="654"/>
      <c r="K4" s="657"/>
      <c r="L4" s="654"/>
      <c r="M4" s="657" t="s">
        <v>16</v>
      </c>
      <c r="N4" s="714">
        <v>4</v>
      </c>
      <c r="O4" s="835">
        <f>O40*24</f>
        <v>199.50000000000006</v>
      </c>
      <c r="P4" s="717">
        <v>222.5</v>
      </c>
      <c r="Q4" s="738">
        <v>0</v>
      </c>
      <c r="R4" s="611" t="s">
        <v>17</v>
      </c>
      <c r="S4" s="611" t="s">
        <v>210</v>
      </c>
      <c r="T4" s="646"/>
      <c r="U4" s="718"/>
      <c r="V4" s="642">
        <f t="shared" si="5"/>
        <v>5</v>
      </c>
    </row>
    <row r="5" spans="1:22" ht="15.75" thickBot="1" x14ac:dyDescent="0.3">
      <c r="A5" s="651">
        <v>44443</v>
      </c>
      <c r="B5" s="657" t="str">
        <f t="shared" si="0"/>
        <v>So</v>
      </c>
      <c r="C5" s="748">
        <f t="shared" si="1"/>
        <v>0.375</v>
      </c>
      <c r="D5" s="837">
        <f t="shared" si="2"/>
        <v>36</v>
      </c>
      <c r="E5" s="724">
        <v>0.29166666666666669</v>
      </c>
      <c r="F5" s="726">
        <f>TIME(0,30,0)</f>
        <v>2.0833333333333332E-2</v>
      </c>
      <c r="G5" s="727">
        <v>0.6875</v>
      </c>
      <c r="H5" s="654"/>
      <c r="I5" s="657"/>
      <c r="J5" s="654"/>
      <c r="K5" s="657"/>
      <c r="L5" s="654"/>
      <c r="M5" s="657" t="s">
        <v>16</v>
      </c>
      <c r="N5" s="714">
        <v>4</v>
      </c>
      <c r="O5" s="711" t="s">
        <v>14</v>
      </c>
      <c r="P5" s="717" t="s">
        <v>14</v>
      </c>
      <c r="Q5" s="738">
        <v>44591</v>
      </c>
      <c r="R5" s="611" t="s">
        <v>17</v>
      </c>
      <c r="S5" s="611" t="s">
        <v>425</v>
      </c>
      <c r="T5" s="874">
        <v>44487</v>
      </c>
      <c r="U5" s="718"/>
      <c r="V5" s="642">
        <f t="shared" si="5"/>
        <v>6</v>
      </c>
    </row>
    <row r="6" spans="1:22" ht="15.75" thickBot="1" x14ac:dyDescent="0.3">
      <c r="A6" s="651">
        <v>44444</v>
      </c>
      <c r="B6" s="657" t="str">
        <f t="shared" si="0"/>
        <v>Ne</v>
      </c>
      <c r="C6" s="748">
        <f t="shared" si="1"/>
        <v>0</v>
      </c>
      <c r="D6" s="837">
        <f t="shared" si="2"/>
        <v>0</v>
      </c>
      <c r="E6" s="724"/>
      <c r="F6" s="726"/>
      <c r="G6" s="727"/>
      <c r="H6" s="654"/>
      <c r="I6" s="657"/>
      <c r="J6" s="654"/>
      <c r="K6" s="657"/>
      <c r="L6" s="654"/>
      <c r="M6" s="657" t="s">
        <v>16</v>
      </c>
      <c r="N6" s="714">
        <v>4</v>
      </c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5"/>
        <v>7</v>
      </c>
    </row>
    <row r="7" spans="1:22" ht="15.75" thickBot="1" x14ac:dyDescent="0.3">
      <c r="A7" s="651">
        <v>44445</v>
      </c>
      <c r="B7" s="657" t="str">
        <f t="shared" si="0"/>
        <v>Po</v>
      </c>
      <c r="C7" s="748">
        <f t="shared" si="1"/>
        <v>0.41666666666666663</v>
      </c>
      <c r="D7" s="837">
        <f t="shared" si="2"/>
        <v>0</v>
      </c>
      <c r="E7" s="724">
        <v>0.29166666666666669</v>
      </c>
      <c r="F7" s="726">
        <f>TIME(1,0,0)</f>
        <v>4.1666666666666664E-2</v>
      </c>
      <c r="G7" s="727">
        <v>0.75</v>
      </c>
      <c r="H7" s="654"/>
      <c r="I7" s="657"/>
      <c r="J7" s="654"/>
      <c r="K7" s="657"/>
      <c r="L7" s="654"/>
      <c r="M7" s="657" t="s">
        <v>16</v>
      </c>
      <c r="N7" s="714">
        <v>0</v>
      </c>
      <c r="O7" s="711" t="s">
        <v>20</v>
      </c>
      <c r="P7" s="646" t="s">
        <v>20</v>
      </c>
      <c r="Q7" s="721">
        <f>Q3+Q4</f>
        <v>0</v>
      </c>
      <c r="R7" s="718"/>
      <c r="S7" s="718"/>
      <c r="T7" s="718"/>
      <c r="U7" s="718"/>
      <c r="V7" s="642">
        <f t="shared" si="5"/>
        <v>1</v>
      </c>
    </row>
    <row r="8" spans="1:22" ht="15.75" thickBot="1" x14ac:dyDescent="0.3">
      <c r="A8" s="651">
        <v>44446</v>
      </c>
      <c r="B8" s="657" t="str">
        <f t="shared" si="0"/>
        <v>Út</v>
      </c>
      <c r="C8" s="748">
        <f t="shared" si="1"/>
        <v>0.33333333333333331</v>
      </c>
      <c r="D8" s="837">
        <f t="shared" si="2"/>
        <v>0</v>
      </c>
      <c r="E8" s="724">
        <v>0.29166666666666669</v>
      </c>
      <c r="F8" s="726"/>
      <c r="G8" s="727">
        <v>0.625</v>
      </c>
      <c r="H8" s="654"/>
      <c r="I8" s="657"/>
      <c r="J8" s="654"/>
      <c r="K8" s="657"/>
      <c r="L8" s="654"/>
      <c r="M8" s="657" t="s">
        <v>16</v>
      </c>
      <c r="N8" s="714">
        <v>0</v>
      </c>
      <c r="O8" s="711" t="s">
        <v>22</v>
      </c>
      <c r="P8" s="646" t="s">
        <v>22</v>
      </c>
      <c r="Q8" s="657" t="s">
        <v>229</v>
      </c>
      <c r="R8" s="718"/>
      <c r="S8" s="718"/>
      <c r="T8" s="718"/>
      <c r="U8" s="718"/>
      <c r="V8" s="642">
        <f t="shared" si="5"/>
        <v>2</v>
      </c>
    </row>
    <row r="9" spans="1:22" ht="15.75" thickBot="1" x14ac:dyDescent="0.3">
      <c r="A9" s="651">
        <v>44447</v>
      </c>
      <c r="B9" s="657" t="str">
        <f t="shared" si="0"/>
        <v>St</v>
      </c>
      <c r="C9" s="748">
        <f t="shared" si="1"/>
        <v>0.125</v>
      </c>
      <c r="D9" s="837">
        <f t="shared" si="2"/>
        <v>0</v>
      </c>
      <c r="E9" s="724">
        <v>0.29166666666666669</v>
      </c>
      <c r="F9" s="726"/>
      <c r="G9" s="727">
        <v>0.41666666666666669</v>
      </c>
      <c r="H9" s="654"/>
      <c r="I9" s="657"/>
      <c r="J9" s="654"/>
      <c r="K9" s="657"/>
      <c r="L9" s="654"/>
      <c r="M9" s="657" t="s">
        <v>16</v>
      </c>
      <c r="N9" s="714">
        <v>0</v>
      </c>
      <c r="O9" s="711" t="s">
        <v>23</v>
      </c>
      <c r="P9" s="646" t="s">
        <v>23</v>
      </c>
      <c r="Q9" s="657">
        <f>SUM(Q2:Q4)</f>
        <v>31480</v>
      </c>
      <c r="R9" s="718"/>
      <c r="S9" s="718"/>
      <c r="T9" s="718"/>
      <c r="U9" s="718"/>
      <c r="V9" s="642">
        <f t="shared" si="5"/>
        <v>3</v>
      </c>
    </row>
    <row r="10" spans="1:22" ht="15.75" thickBot="1" x14ac:dyDescent="0.3">
      <c r="A10" s="651">
        <v>44448</v>
      </c>
      <c r="B10" s="657" t="str">
        <f t="shared" si="0"/>
        <v>Čt</v>
      </c>
      <c r="C10" s="748">
        <f t="shared" si="1"/>
        <v>0</v>
      </c>
      <c r="D10" s="837">
        <f t="shared" si="2"/>
        <v>0</v>
      </c>
      <c r="E10" s="724"/>
      <c r="F10" s="726"/>
      <c r="G10" s="727"/>
      <c r="H10" s="654"/>
      <c r="I10" s="657"/>
      <c r="J10" s="654"/>
      <c r="K10" s="657"/>
      <c r="L10" s="654"/>
      <c r="M10" s="657" t="s">
        <v>16</v>
      </c>
      <c r="N10" s="714">
        <v>0</v>
      </c>
      <c r="O10" s="738">
        <f>(O2*380)+U2</f>
        <v>84550</v>
      </c>
      <c r="P10" s="747">
        <f>SUM(P2*380)</f>
        <v>84550</v>
      </c>
      <c r="Q10" s="719"/>
      <c r="R10" s="718"/>
      <c r="S10" s="718"/>
      <c r="T10" s="718"/>
      <c r="U10" s="718"/>
      <c r="V10" s="642">
        <f t="shared" si="5"/>
        <v>4</v>
      </c>
    </row>
    <row r="11" spans="1:22" ht="15.75" thickBot="1" x14ac:dyDescent="0.3">
      <c r="A11" s="651">
        <v>44449</v>
      </c>
      <c r="B11" s="657" t="str">
        <f t="shared" si="0"/>
        <v>Pá</v>
      </c>
      <c r="C11" s="748">
        <f t="shared" si="1"/>
        <v>0</v>
      </c>
      <c r="D11" s="837">
        <f t="shared" si="2"/>
        <v>0</v>
      </c>
      <c r="E11" s="724"/>
      <c r="F11" s="726"/>
      <c r="G11" s="727"/>
      <c r="H11" s="654"/>
      <c r="I11" s="657"/>
      <c r="J11" s="654"/>
      <c r="K11" s="657"/>
      <c r="L11" s="654"/>
      <c r="M11" s="657" t="s">
        <v>16</v>
      </c>
      <c r="N11" s="714">
        <v>0</v>
      </c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5"/>
        <v>5</v>
      </c>
    </row>
    <row r="12" spans="1:22" ht="15.75" thickBot="1" x14ac:dyDescent="0.3">
      <c r="A12" s="651">
        <v>44450</v>
      </c>
      <c r="B12" s="657" t="str">
        <f t="shared" si="0"/>
        <v>So</v>
      </c>
      <c r="C12" s="748">
        <f t="shared" si="1"/>
        <v>0</v>
      </c>
      <c r="D12" s="837">
        <f t="shared" si="2"/>
        <v>0</v>
      </c>
      <c r="E12" s="724"/>
      <c r="F12" s="726"/>
      <c r="G12" s="727"/>
      <c r="H12" s="654"/>
      <c r="I12" s="657"/>
      <c r="J12" s="654"/>
      <c r="K12" s="657"/>
      <c r="L12" s="654"/>
      <c r="M12" s="657" t="s">
        <v>16</v>
      </c>
      <c r="N12" s="714">
        <v>0</v>
      </c>
      <c r="O12" s="738">
        <f>(O10+O20+O18-O22)-O14-P24</f>
        <v>48072.5</v>
      </c>
      <c r="P12" s="747">
        <f>(P10+P18+P20-P22)-P14-P24</f>
        <v>49475</v>
      </c>
      <c r="Q12" s="718"/>
      <c r="R12" s="718"/>
      <c r="S12" s="718"/>
      <c r="T12" s="718"/>
      <c r="U12" s="718"/>
      <c r="V12" s="642">
        <f t="shared" si="5"/>
        <v>6</v>
      </c>
    </row>
    <row r="13" spans="1:22" ht="15.75" thickBot="1" x14ac:dyDescent="0.3">
      <c r="A13" s="651">
        <v>44451</v>
      </c>
      <c r="B13" s="657" t="str">
        <f t="shared" si="0"/>
        <v>Ne</v>
      </c>
      <c r="C13" s="748">
        <f t="shared" si="1"/>
        <v>0</v>
      </c>
      <c r="D13" s="837">
        <f t="shared" si="2"/>
        <v>0</v>
      </c>
      <c r="E13" s="724"/>
      <c r="F13" s="726"/>
      <c r="G13" s="727"/>
      <c r="H13" s="654"/>
      <c r="I13" s="657"/>
      <c r="J13" s="654"/>
      <c r="K13" s="657"/>
      <c r="L13" s="654"/>
      <c r="M13" s="657" t="s">
        <v>16</v>
      </c>
      <c r="N13" s="714">
        <v>0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5"/>
        <v>7</v>
      </c>
    </row>
    <row r="14" spans="1:22" ht="15.75" thickBot="1" x14ac:dyDescent="0.3">
      <c r="A14" s="651">
        <v>44452</v>
      </c>
      <c r="B14" s="657" t="str">
        <f t="shared" si="0"/>
        <v>Po</v>
      </c>
      <c r="C14" s="748">
        <f t="shared" si="1"/>
        <v>0</v>
      </c>
      <c r="D14" s="837">
        <f t="shared" si="2"/>
        <v>0</v>
      </c>
      <c r="E14" s="724"/>
      <c r="F14" s="726"/>
      <c r="G14" s="727"/>
      <c r="H14" s="654"/>
      <c r="I14" s="657"/>
      <c r="J14" s="654"/>
      <c r="K14" s="657"/>
      <c r="L14" s="654"/>
      <c r="M14" s="657" t="s">
        <v>16</v>
      </c>
      <c r="N14" s="714">
        <v>0</v>
      </c>
      <c r="O14" s="738">
        <f>(O16*25.5)</f>
        <v>24352.5</v>
      </c>
      <c r="P14" s="747">
        <f>(P16*25.5)</f>
        <v>22950</v>
      </c>
      <c r="Q14" s="1001" t="s">
        <v>454</v>
      </c>
      <c r="R14" s="1002">
        <f>P14-P20</f>
        <v>7488</v>
      </c>
      <c r="S14" s="1001"/>
      <c r="T14" s="1001" t="s">
        <v>456</v>
      </c>
      <c r="U14" s="1002">
        <f>P14+P22</f>
        <v>22950</v>
      </c>
      <c r="V14" s="642">
        <f t="shared" si="5"/>
        <v>1</v>
      </c>
    </row>
    <row r="15" spans="1:22" ht="15.75" thickBot="1" x14ac:dyDescent="0.3">
      <c r="A15" s="651">
        <v>44453</v>
      </c>
      <c r="B15" s="657" t="str">
        <f t="shared" si="0"/>
        <v>Út</v>
      </c>
      <c r="C15" s="748">
        <f t="shared" si="1"/>
        <v>0.20833333333333329</v>
      </c>
      <c r="D15" s="837">
        <f t="shared" si="2"/>
        <v>0</v>
      </c>
      <c r="E15" s="724">
        <v>0.52083333333333337</v>
      </c>
      <c r="F15" s="726">
        <f>TIME(0,30,0)</f>
        <v>2.0833333333333332E-2</v>
      </c>
      <c r="G15" s="727">
        <v>0.75</v>
      </c>
      <c r="H15" s="654"/>
      <c r="I15" s="657"/>
      <c r="J15" s="654"/>
      <c r="K15" s="657"/>
      <c r="L15" s="654"/>
      <c r="M15" s="657" t="s">
        <v>16</v>
      </c>
      <c r="N15" s="714">
        <v>0</v>
      </c>
      <c r="O15" s="711" t="s">
        <v>29</v>
      </c>
      <c r="P15" s="646" t="s">
        <v>29</v>
      </c>
      <c r="Q15" s="1001" t="s">
        <v>455</v>
      </c>
      <c r="R15" s="1002">
        <f>P10</f>
        <v>84550</v>
      </c>
      <c r="S15" s="1001"/>
      <c r="T15" s="1001" t="s">
        <v>457</v>
      </c>
      <c r="U15" s="1002">
        <f>O10+O18+O20</f>
        <v>100012</v>
      </c>
      <c r="V15" s="642">
        <f t="shared" si="5"/>
        <v>2</v>
      </c>
    </row>
    <row r="16" spans="1:22" ht="15.75" thickBot="1" x14ac:dyDescent="0.3">
      <c r="A16" s="651">
        <v>44454</v>
      </c>
      <c r="B16" s="657" t="str">
        <f t="shared" si="0"/>
        <v>St</v>
      </c>
      <c r="C16" s="748">
        <f t="shared" si="1"/>
        <v>0.41666666666666663</v>
      </c>
      <c r="D16" s="837">
        <f t="shared" si="2"/>
        <v>0</v>
      </c>
      <c r="E16" s="724">
        <v>0.29166666666666669</v>
      </c>
      <c r="F16" s="726">
        <f>TIME(1,0,0)</f>
        <v>4.1666666666666664E-2</v>
      </c>
      <c r="G16" s="727">
        <v>0.75</v>
      </c>
      <c r="H16" s="654"/>
      <c r="I16" s="657"/>
      <c r="J16" s="654"/>
      <c r="K16" s="657"/>
      <c r="L16" s="654"/>
      <c r="M16" s="657" t="s">
        <v>16</v>
      </c>
      <c r="N16" s="714">
        <v>0</v>
      </c>
      <c r="O16" s="893">
        <f>'06cash21'!O35+240</f>
        <v>955</v>
      </c>
      <c r="P16" s="894">
        <v>900</v>
      </c>
      <c r="Q16" s="1001"/>
      <c r="R16" s="1003">
        <f>R15-R14</f>
        <v>77062</v>
      </c>
      <c r="S16" s="1001"/>
      <c r="T16" s="1001"/>
      <c r="U16" s="1002">
        <f>U15-U14</f>
        <v>77062</v>
      </c>
      <c r="V16" s="642">
        <f t="shared" si="5"/>
        <v>3</v>
      </c>
    </row>
    <row r="17" spans="1:22" ht="15.75" thickBot="1" x14ac:dyDescent="0.3">
      <c r="A17" s="651">
        <v>44455</v>
      </c>
      <c r="B17" s="657" t="str">
        <f t="shared" si="0"/>
        <v>Čt</v>
      </c>
      <c r="C17" s="748">
        <f t="shared" si="1"/>
        <v>0.41666666666666663</v>
      </c>
      <c r="D17" s="837">
        <f t="shared" si="2"/>
        <v>0</v>
      </c>
      <c r="E17" s="724">
        <v>0.29166666666666669</v>
      </c>
      <c r="F17" s="726">
        <f>TIME(1,0,0)</f>
        <v>4.1666666666666664E-2</v>
      </c>
      <c r="G17" s="727">
        <v>0.75</v>
      </c>
      <c r="H17" s="654"/>
      <c r="I17" s="657"/>
      <c r="J17" s="654"/>
      <c r="K17" s="657"/>
      <c r="L17" s="654"/>
      <c r="M17" s="657" t="s">
        <v>16</v>
      </c>
      <c r="N17" s="714">
        <v>0</v>
      </c>
      <c r="O17" s="711" t="s">
        <v>31</v>
      </c>
      <c r="P17" s="646" t="s">
        <v>31</v>
      </c>
      <c r="Q17" s="1001"/>
      <c r="R17" s="1001"/>
      <c r="S17" s="1002">
        <f>R16-Q5</f>
        <v>32471</v>
      </c>
      <c r="T17" s="1002">
        <f>U16-Q5</f>
        <v>32471</v>
      </c>
      <c r="U17" s="1001"/>
      <c r="V17" s="642">
        <f t="shared" si="5"/>
        <v>4</v>
      </c>
    </row>
    <row r="18" spans="1:22" ht="15.75" thickBot="1" x14ac:dyDescent="0.3">
      <c r="A18" s="651">
        <v>44456</v>
      </c>
      <c r="B18" s="657" t="str">
        <f t="shared" si="0"/>
        <v>Pá</v>
      </c>
      <c r="C18" s="748">
        <f t="shared" si="1"/>
        <v>0.3125</v>
      </c>
      <c r="D18" s="837">
        <f t="shared" si="2"/>
        <v>0</v>
      </c>
      <c r="E18" s="724">
        <v>0.29166666666666669</v>
      </c>
      <c r="F18" s="726">
        <f>TIME(1,0,0)</f>
        <v>4.1666666666666664E-2</v>
      </c>
      <c r="G18" s="727">
        <v>0.64583333333333337</v>
      </c>
      <c r="H18" s="654"/>
      <c r="I18" s="657"/>
      <c r="J18" s="654"/>
      <c r="K18" s="657"/>
      <c r="L18" s="654"/>
      <c r="M18" s="657" t="s">
        <v>16</v>
      </c>
      <c r="N18" s="714">
        <v>0</v>
      </c>
      <c r="O18" s="738"/>
      <c r="P18" s="747"/>
      <c r="Q18" s="1001"/>
      <c r="R18" s="1001"/>
      <c r="S18" s="1001"/>
      <c r="T18" s="1001"/>
      <c r="U18" s="1001"/>
      <c r="V18" s="642">
        <f t="shared" si="5"/>
        <v>5</v>
      </c>
    </row>
    <row r="19" spans="1:22" ht="15.75" thickBot="1" x14ac:dyDescent="0.3">
      <c r="A19" s="651">
        <v>44457</v>
      </c>
      <c r="B19" s="657" t="str">
        <f t="shared" si="0"/>
        <v>So</v>
      </c>
      <c r="C19" s="748">
        <f t="shared" si="1"/>
        <v>0</v>
      </c>
      <c r="D19" s="837">
        <f t="shared" si="2"/>
        <v>0</v>
      </c>
      <c r="E19" s="724"/>
      <c r="F19" s="726"/>
      <c r="G19" s="727"/>
      <c r="H19" s="654"/>
      <c r="I19" s="657"/>
      <c r="J19" s="654"/>
      <c r="K19" s="657"/>
      <c r="L19" s="654"/>
      <c r="M19" s="657" t="s">
        <v>16</v>
      </c>
      <c r="N19" s="714">
        <v>0</v>
      </c>
      <c r="O19" s="738" t="s">
        <v>33</v>
      </c>
      <c r="P19" s="747" t="s">
        <v>33</v>
      </c>
      <c r="Q19" s="1001"/>
      <c r="R19" s="1001"/>
      <c r="S19" s="1001"/>
      <c r="T19" s="1001"/>
      <c r="U19" s="1001"/>
      <c r="V19" s="642">
        <f t="shared" si="5"/>
        <v>6</v>
      </c>
    </row>
    <row r="20" spans="1:22" ht="15.75" thickBot="1" x14ac:dyDescent="0.3">
      <c r="A20" s="651">
        <v>44458</v>
      </c>
      <c r="B20" s="657" t="str">
        <f t="shared" si="0"/>
        <v>Ne</v>
      </c>
      <c r="C20" s="748">
        <f t="shared" si="1"/>
        <v>0</v>
      </c>
      <c r="D20" s="837">
        <f t="shared" si="2"/>
        <v>0</v>
      </c>
      <c r="E20" s="724"/>
      <c r="F20" s="726"/>
      <c r="G20" s="727"/>
      <c r="H20" s="654"/>
      <c r="I20" s="657"/>
      <c r="J20" s="654"/>
      <c r="K20" s="657"/>
      <c r="L20" s="654"/>
      <c r="M20" s="657" t="s">
        <v>16</v>
      </c>
      <c r="N20" s="714">
        <v>0</v>
      </c>
      <c r="O20" s="738">
        <v>15462</v>
      </c>
      <c r="P20" s="747">
        <v>15462</v>
      </c>
      <c r="Q20" s="1001"/>
      <c r="R20" s="1001"/>
      <c r="S20" s="1001"/>
      <c r="T20" s="1001"/>
      <c r="U20" s="1001"/>
      <c r="V20" s="642">
        <f t="shared" si="5"/>
        <v>7</v>
      </c>
    </row>
    <row r="21" spans="1:22" ht="15.75" thickBot="1" x14ac:dyDescent="0.3">
      <c r="A21" s="651">
        <v>44459</v>
      </c>
      <c r="B21" s="657" t="str">
        <f t="shared" si="0"/>
        <v>Po</v>
      </c>
      <c r="C21" s="748">
        <f t="shared" si="1"/>
        <v>0.4375</v>
      </c>
      <c r="D21" s="837">
        <f t="shared" si="2"/>
        <v>0</v>
      </c>
      <c r="E21" s="724">
        <v>0.29166666666666669</v>
      </c>
      <c r="F21" s="726">
        <f>TIME(0,30,0)</f>
        <v>2.0833333333333332E-2</v>
      </c>
      <c r="G21" s="727">
        <v>0.75</v>
      </c>
      <c r="H21" s="654"/>
      <c r="I21" s="657"/>
      <c r="J21" s="654"/>
      <c r="K21" s="657"/>
      <c r="L21" s="654"/>
      <c r="M21" s="657" t="s">
        <v>16</v>
      </c>
      <c r="N21" s="714">
        <v>0</v>
      </c>
      <c r="O21" s="738" t="s">
        <v>34</v>
      </c>
      <c r="P21" s="747" t="s">
        <v>34</v>
      </c>
      <c r="Q21" s="1001"/>
      <c r="R21" s="1001"/>
      <c r="S21" s="1001"/>
      <c r="T21" s="1001"/>
      <c r="U21" s="1001"/>
      <c r="V21" s="642">
        <f t="shared" si="5"/>
        <v>1</v>
      </c>
    </row>
    <row r="22" spans="1:22" ht="15.75" thickBot="1" x14ac:dyDescent="0.3">
      <c r="A22" s="651">
        <v>44460</v>
      </c>
      <c r="B22" s="657" t="str">
        <f t="shared" si="0"/>
        <v>Út</v>
      </c>
      <c r="C22" s="748">
        <f t="shared" si="1"/>
        <v>0.41666666666666663</v>
      </c>
      <c r="D22" s="837">
        <f t="shared" si="2"/>
        <v>0</v>
      </c>
      <c r="E22" s="724">
        <v>0.29166666666666669</v>
      </c>
      <c r="F22" s="726">
        <f>TIME(1,0,0)</f>
        <v>4.1666666666666664E-2</v>
      </c>
      <c r="G22" s="727">
        <v>0.75</v>
      </c>
      <c r="H22" s="654"/>
      <c r="I22" s="657"/>
      <c r="J22" s="654"/>
      <c r="K22" s="657"/>
      <c r="L22" s="654"/>
      <c r="M22" s="657" t="s">
        <v>16</v>
      </c>
      <c r="N22" s="714">
        <v>0</v>
      </c>
      <c r="O22" s="738">
        <v>0</v>
      </c>
      <c r="P22" s="747">
        <v>0</v>
      </c>
      <c r="Q22" s="1001"/>
      <c r="R22" s="1002">
        <f>S17-Q24</f>
        <v>4884</v>
      </c>
      <c r="S22" s="1002">
        <f>T17-Q24</f>
        <v>4884</v>
      </c>
      <c r="T22" s="1001"/>
      <c r="U22" s="1001"/>
      <c r="V22" s="642">
        <f t="shared" si="5"/>
        <v>2</v>
      </c>
    </row>
    <row r="23" spans="1:22" ht="15.75" thickBot="1" x14ac:dyDescent="0.3">
      <c r="A23" s="651">
        <v>44461</v>
      </c>
      <c r="B23" s="657" t="str">
        <f t="shared" si="0"/>
        <v>St</v>
      </c>
      <c r="C23" s="748">
        <f t="shared" si="1"/>
        <v>0.41666666666666663</v>
      </c>
      <c r="D23" s="837">
        <f t="shared" si="2"/>
        <v>0</v>
      </c>
      <c r="E23" s="724">
        <v>0.29166666666666669</v>
      </c>
      <c r="F23" s="726">
        <f>TIME(1,0,0)</f>
        <v>4.1666666666666664E-2</v>
      </c>
      <c r="G23" s="727">
        <v>0.75</v>
      </c>
      <c r="H23" s="654"/>
      <c r="I23" s="657"/>
      <c r="J23" s="654"/>
      <c r="K23" s="657"/>
      <c r="L23" s="654"/>
      <c r="M23" s="657" t="s">
        <v>16</v>
      </c>
      <c r="N23" s="714">
        <v>0</v>
      </c>
      <c r="O23" s="897" t="s">
        <v>364</v>
      </c>
      <c r="P23" s="895" t="s">
        <v>363</v>
      </c>
      <c r="Q23" s="1001"/>
      <c r="R23" s="1001"/>
      <c r="S23" s="1001"/>
      <c r="T23" s="1001"/>
      <c r="U23" s="1001"/>
      <c r="V23" s="642">
        <f t="shared" si="5"/>
        <v>3</v>
      </c>
    </row>
    <row r="24" spans="1:22" ht="15.75" thickBot="1" x14ac:dyDescent="0.3">
      <c r="A24" s="651">
        <v>44462</v>
      </c>
      <c r="B24" s="657" t="str">
        <f t="shared" si="0"/>
        <v>Čt</v>
      </c>
      <c r="C24" s="748">
        <f t="shared" si="1"/>
        <v>0.41666666666666663</v>
      </c>
      <c r="D24" s="837">
        <f t="shared" si="2"/>
        <v>0</v>
      </c>
      <c r="E24" s="724">
        <v>0.29166666666666669</v>
      </c>
      <c r="F24" s="726">
        <f>TIME(1,0,0)</f>
        <v>4.1666666666666664E-2</v>
      </c>
      <c r="G24" s="727">
        <v>0.75</v>
      </c>
      <c r="H24" s="654"/>
      <c r="I24" s="657"/>
      <c r="J24" s="654"/>
      <c r="K24" s="657"/>
      <c r="L24" s="654"/>
      <c r="M24" s="657" t="s">
        <v>16</v>
      </c>
      <c r="N24" s="714">
        <v>0</v>
      </c>
      <c r="O24" s="898">
        <f>P12-Q5</f>
        <v>4884</v>
      </c>
      <c r="P24" s="747">
        <f>O26-O28</f>
        <v>27587</v>
      </c>
      <c r="Q24" s="1002">
        <f>O26-O28</f>
        <v>27587</v>
      </c>
      <c r="R24" s="1001"/>
      <c r="S24" s="1001"/>
      <c r="T24" s="1001"/>
      <c r="U24" s="1001"/>
      <c r="V24" s="642">
        <f t="shared" si="5"/>
        <v>4</v>
      </c>
    </row>
    <row r="25" spans="1:22" ht="15.75" thickBot="1" x14ac:dyDescent="0.3">
      <c r="A25" s="651">
        <v>44463</v>
      </c>
      <c r="B25" s="657" t="str">
        <f t="shared" si="0"/>
        <v>Pá</v>
      </c>
      <c r="C25" s="748">
        <f t="shared" si="1"/>
        <v>0.41666666666666663</v>
      </c>
      <c r="D25" s="837">
        <f t="shared" si="2"/>
        <v>0</v>
      </c>
      <c r="E25" s="724">
        <v>0.29166666666666669</v>
      </c>
      <c r="F25" s="726">
        <f>TIME(1,0,0)</f>
        <v>4.1666666666666664E-2</v>
      </c>
      <c r="G25" s="727">
        <v>0.75</v>
      </c>
      <c r="H25" s="654"/>
      <c r="I25" s="657"/>
      <c r="J25" s="654"/>
      <c r="K25" s="657"/>
      <c r="L25" s="654"/>
      <c r="M25" s="657" t="s">
        <v>16</v>
      </c>
      <c r="N25" s="714">
        <v>0</v>
      </c>
      <c r="O25" s="711" t="s">
        <v>372</v>
      </c>
      <c r="P25" s="646"/>
      <c r="Q25" s="1001"/>
      <c r="R25" s="1001"/>
      <c r="S25" s="1001"/>
      <c r="T25" s="1001"/>
      <c r="U25" s="1001"/>
      <c r="V25" s="642">
        <f t="shared" si="5"/>
        <v>5</v>
      </c>
    </row>
    <row r="26" spans="1:22" ht="15.75" thickBot="1" x14ac:dyDescent="0.3">
      <c r="A26" s="651">
        <v>44464</v>
      </c>
      <c r="B26" s="657" t="str">
        <f t="shared" si="0"/>
        <v>So</v>
      </c>
      <c r="C26" s="748">
        <f t="shared" si="1"/>
        <v>0.3125</v>
      </c>
      <c r="D26" s="837">
        <f t="shared" si="2"/>
        <v>0</v>
      </c>
      <c r="E26" s="724">
        <v>0.29166666666666669</v>
      </c>
      <c r="F26" s="726">
        <f>TIME(0,30,0)</f>
        <v>2.0833333333333332E-2</v>
      </c>
      <c r="G26" s="727">
        <v>0.625</v>
      </c>
      <c r="H26" s="654"/>
      <c r="I26" s="657"/>
      <c r="J26" s="654"/>
      <c r="K26" s="657"/>
      <c r="L26" s="654"/>
      <c r="M26" s="657" t="s">
        <v>16</v>
      </c>
      <c r="N26" s="714">
        <v>0</v>
      </c>
      <c r="O26" s="738">
        <v>93630</v>
      </c>
      <c r="P26" s="747"/>
      <c r="Q26" s="718"/>
      <c r="R26" s="718"/>
      <c r="S26" s="718"/>
      <c r="T26" s="718"/>
      <c r="U26" s="718"/>
      <c r="V26" s="642">
        <f t="shared" si="5"/>
        <v>6</v>
      </c>
    </row>
    <row r="27" spans="1:22" ht="15.75" thickBot="1" x14ac:dyDescent="0.3">
      <c r="A27" s="651">
        <v>44465</v>
      </c>
      <c r="B27" s="657" t="str">
        <f t="shared" si="0"/>
        <v>Ne</v>
      </c>
      <c r="C27" s="748">
        <f t="shared" si="1"/>
        <v>0</v>
      </c>
      <c r="D27" s="837">
        <f t="shared" si="2"/>
        <v>0</v>
      </c>
      <c r="E27" s="724"/>
      <c r="F27" s="726"/>
      <c r="G27" s="727"/>
      <c r="H27" s="654"/>
      <c r="I27" s="657"/>
      <c r="J27" s="654"/>
      <c r="K27" s="657"/>
      <c r="L27" s="654"/>
      <c r="M27" s="657" t="s">
        <v>16</v>
      </c>
      <c r="N27" s="714">
        <v>0</v>
      </c>
      <c r="O27" s="711" t="s">
        <v>373</v>
      </c>
      <c r="P27" s="646"/>
      <c r="Q27" s="718"/>
      <c r="R27" s="718"/>
      <c r="S27" s="718"/>
      <c r="T27" s="718"/>
      <c r="U27" s="718"/>
      <c r="V27" s="642">
        <f t="shared" si="5"/>
        <v>7</v>
      </c>
    </row>
    <row r="28" spans="1:22" ht="15.75" thickBot="1" x14ac:dyDescent="0.3">
      <c r="A28" s="651">
        <v>44466</v>
      </c>
      <c r="B28" s="657" t="str">
        <f t="shared" si="0"/>
        <v>Po</v>
      </c>
      <c r="C28" s="748">
        <f t="shared" si="1"/>
        <v>0.41666666666666663</v>
      </c>
      <c r="D28" s="837">
        <f t="shared" si="2"/>
        <v>0</v>
      </c>
      <c r="E28" s="724">
        <v>0.29166666666666669</v>
      </c>
      <c r="F28" s="726">
        <f>TIME(1,0,0)</f>
        <v>4.1666666666666664E-2</v>
      </c>
      <c r="G28" s="727">
        <v>0.75</v>
      </c>
      <c r="H28" s="654"/>
      <c r="I28" s="657"/>
      <c r="J28" s="654"/>
      <c r="K28" s="657"/>
      <c r="L28" s="654"/>
      <c r="M28" s="657" t="s">
        <v>16</v>
      </c>
      <c r="N28" s="714">
        <v>0</v>
      </c>
      <c r="O28" s="738">
        <f>'08hod21'!O26</f>
        <v>66043</v>
      </c>
      <c r="P28" s="646"/>
      <c r="Q28" s="718"/>
      <c r="R28" s="718"/>
      <c r="S28" s="718"/>
      <c r="T28" s="718"/>
      <c r="U28" s="718"/>
      <c r="V28" s="642">
        <f t="shared" si="5"/>
        <v>1</v>
      </c>
    </row>
    <row r="29" spans="1:22" ht="15.75" thickBot="1" x14ac:dyDescent="0.3">
      <c r="A29" s="651">
        <v>44467</v>
      </c>
      <c r="B29" s="657" t="str">
        <f t="shared" si="0"/>
        <v>Út</v>
      </c>
      <c r="C29" s="748">
        <f t="shared" si="1"/>
        <v>0.41666666666666663</v>
      </c>
      <c r="D29" s="837">
        <f t="shared" si="2"/>
        <v>0</v>
      </c>
      <c r="E29" s="724">
        <v>0.29166666666666669</v>
      </c>
      <c r="F29" s="726">
        <f>TIME(1,0,0)</f>
        <v>4.1666666666666664E-2</v>
      </c>
      <c r="G29" s="727">
        <v>0.75</v>
      </c>
      <c r="H29" s="654"/>
      <c r="I29" s="657"/>
      <c r="J29" s="654"/>
      <c r="K29" s="657"/>
      <c r="L29" s="654"/>
      <c r="M29" s="657" t="s">
        <v>16</v>
      </c>
      <c r="N29" s="714">
        <v>0</v>
      </c>
      <c r="O29" s="712"/>
      <c r="P29" s="648"/>
      <c r="Q29" s="718"/>
      <c r="R29" s="718"/>
      <c r="S29" s="718"/>
      <c r="T29" s="718"/>
      <c r="U29" s="718"/>
      <c r="V29" s="642">
        <f t="shared" si="5"/>
        <v>2</v>
      </c>
    </row>
    <row r="30" spans="1:22" ht="15.75" thickBot="1" x14ac:dyDescent="0.3">
      <c r="A30" s="651">
        <v>44468</v>
      </c>
      <c r="B30" s="657" t="str">
        <f t="shared" si="0"/>
        <v>St</v>
      </c>
      <c r="C30" s="748">
        <f t="shared" si="1"/>
        <v>0.41666666666666663</v>
      </c>
      <c r="D30" s="837">
        <f t="shared" si="2"/>
        <v>30</v>
      </c>
      <c r="E30" s="724">
        <v>0.29166666666666669</v>
      </c>
      <c r="F30" s="726">
        <f>TIME(1,0,0)</f>
        <v>4.1666666666666664E-2</v>
      </c>
      <c r="G30" s="727">
        <v>0.75</v>
      </c>
      <c r="H30" s="654"/>
      <c r="I30" s="657"/>
      <c r="J30" s="654"/>
      <c r="K30" s="657"/>
      <c r="L30" s="654"/>
      <c r="M30" s="657" t="s">
        <v>16</v>
      </c>
      <c r="N30" s="708">
        <v>3</v>
      </c>
      <c r="O30" s="715"/>
      <c r="P30" s="720"/>
      <c r="Q30" s="718"/>
      <c r="R30" s="718"/>
      <c r="S30" s="718"/>
      <c r="T30" s="718"/>
      <c r="U30" s="718"/>
      <c r="V30" s="642">
        <f t="shared" si="5"/>
        <v>3</v>
      </c>
    </row>
    <row r="31" spans="1:22" ht="15.75" thickBot="1" x14ac:dyDescent="0.3">
      <c r="A31" s="651">
        <v>44469</v>
      </c>
      <c r="B31" s="657" t="str">
        <f t="shared" si="0"/>
        <v>Čt</v>
      </c>
      <c r="C31" s="748">
        <f t="shared" si="1"/>
        <v>0.41666666666666663</v>
      </c>
      <c r="D31" s="837">
        <f t="shared" si="2"/>
        <v>40</v>
      </c>
      <c r="E31" s="724">
        <v>0.29166666666666669</v>
      </c>
      <c r="F31" s="726">
        <f>TIME(1,0,0)</f>
        <v>4.1666666666666664E-2</v>
      </c>
      <c r="G31" s="727">
        <v>0.75</v>
      </c>
      <c r="H31" s="654"/>
      <c r="I31" s="657"/>
      <c r="J31" s="654"/>
      <c r="K31" s="657"/>
      <c r="L31" s="654"/>
      <c r="M31" s="657" t="s">
        <v>16</v>
      </c>
      <c r="N31" s="708">
        <v>4</v>
      </c>
      <c r="O31" s="649"/>
      <c r="P31" s="646"/>
      <c r="Q31" s="718"/>
      <c r="R31" s="718"/>
      <c r="S31" s="718"/>
      <c r="T31" s="718"/>
      <c r="U31" s="718"/>
      <c r="V31" s="642">
        <f t="shared" si="5"/>
        <v>4</v>
      </c>
    </row>
    <row r="32" spans="1:22" ht="15.75" thickBot="1" x14ac:dyDescent="0.3">
      <c r="A32" s="651">
        <v>44470</v>
      </c>
      <c r="B32" s="657" t="str">
        <f t="shared" si="0"/>
        <v>Pá</v>
      </c>
      <c r="C32" s="748">
        <f t="shared" si="1"/>
        <v>0.375</v>
      </c>
      <c r="D32" s="837">
        <f t="shared" si="2"/>
        <v>36</v>
      </c>
      <c r="E32" s="724">
        <v>0.29166666666666669</v>
      </c>
      <c r="F32" s="726">
        <f>TIME(1,0,0)</f>
        <v>4.1666666666666664E-2</v>
      </c>
      <c r="G32" s="727">
        <v>0.70833333333333337</v>
      </c>
      <c r="H32" s="654"/>
      <c r="I32" s="657"/>
      <c r="J32" s="654"/>
      <c r="K32" s="657"/>
      <c r="L32" s="654"/>
      <c r="M32" s="657" t="s">
        <v>16</v>
      </c>
      <c r="N32" s="708">
        <v>4</v>
      </c>
      <c r="O32" s="649"/>
      <c r="P32" s="646"/>
      <c r="Q32" s="718"/>
      <c r="R32" s="718"/>
      <c r="S32" s="718"/>
      <c r="T32" s="718"/>
      <c r="U32" s="718"/>
      <c r="V32" s="642">
        <f t="shared" si="5"/>
        <v>5</v>
      </c>
    </row>
    <row r="33" spans="1:22" ht="15.75" thickBot="1" x14ac:dyDescent="0.3">
      <c r="A33" s="651">
        <v>44471</v>
      </c>
      <c r="B33" s="657" t="str">
        <f t="shared" si="0"/>
        <v>So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/>
      <c r="I33" s="657"/>
      <c r="J33" s="654"/>
      <c r="K33" s="657"/>
      <c r="L33" s="654"/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6</v>
      </c>
    </row>
    <row r="34" spans="1:22" ht="15.75" thickBot="1" x14ac:dyDescent="0.3">
      <c r="A34" s="651">
        <v>44472</v>
      </c>
      <c r="B34" s="657" t="str">
        <f t="shared" si="0"/>
        <v>Ne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/>
      <c r="I34" s="657"/>
      <c r="J34" s="654"/>
      <c r="K34" s="657"/>
      <c r="L34" s="654"/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6">WEEKDAY(A34,2)</f>
        <v>7</v>
      </c>
    </row>
    <row r="35" spans="1:22" ht="15.75" thickBot="1" x14ac:dyDescent="0.3">
      <c r="A35" s="651">
        <v>44473</v>
      </c>
      <c r="B35" s="658" t="str">
        <f t="shared" si="0"/>
        <v>Po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5"/>
      <c r="I35" s="658"/>
      <c r="J35" s="655"/>
      <c r="K35" s="658"/>
      <c r="L35" s="655"/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6"/>
        <v>1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8.3125000000000018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9594F8-2DB0-9343-8BA8-1B9BAD8A0D24}">
  <dimension ref="A1:V45"/>
  <sheetViews>
    <sheetView topLeftCell="Z6" zoomScaleNormal="60" zoomScaleSheetLayoutView="100" workbookViewId="0">
      <selection activeCell="Q25" sqref="Q25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0" bestFit="1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425781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44470</v>
      </c>
      <c r="B2" s="656" t="str">
        <f t="shared" ref="B2:B35" si="0">CHOOSE(WEEKDAY(V2),"Po","Út","St","Čt","Pá","So","Ne")</f>
        <v>Pá</v>
      </c>
      <c r="C2" s="748">
        <f t="shared" ref="C2:C35" si="1">G2-E2-F2</f>
        <v>0.375</v>
      </c>
      <c r="D2" s="836">
        <f t="shared" ref="D2:D35" si="2">(N2*C2)*24</f>
        <v>36</v>
      </c>
      <c r="E2" s="723">
        <v>0.29166666666666669</v>
      </c>
      <c r="F2" s="726">
        <f t="shared" ref="F2:F21" si="3">TIME(1,0,0)</f>
        <v>4.1666666666666664E-2</v>
      </c>
      <c r="G2" s="726">
        <v>0.70833333333333337</v>
      </c>
      <c r="H2" s="653"/>
      <c r="I2" s="656"/>
      <c r="J2" s="653"/>
      <c r="K2" s="656"/>
      <c r="L2" s="653"/>
      <c r="M2" s="656"/>
      <c r="N2" s="713">
        <v>4</v>
      </c>
      <c r="O2" s="834">
        <f>(O4+O6)</f>
        <v>122.99999999999996</v>
      </c>
      <c r="P2" s="716">
        <f t="shared" ref="P2" si="4">P4+P6</f>
        <v>123</v>
      </c>
      <c r="Q2" s="853">
        <f>'09hod21'!Q5</f>
        <v>44591</v>
      </c>
      <c r="R2" s="644" t="s">
        <v>17</v>
      </c>
      <c r="S2" s="644" t="s">
        <v>425</v>
      </c>
      <c r="T2" s="875">
        <v>44487</v>
      </c>
      <c r="U2" s="722">
        <f>T7*20</f>
        <v>0</v>
      </c>
      <c r="V2" s="642">
        <f t="shared" ref="V2:V32" si="5">WEEKDAY(A2,2)</f>
        <v>5</v>
      </c>
    </row>
    <row r="3" spans="1:22" ht="15.75" thickBot="1" x14ac:dyDescent="0.3">
      <c r="A3" s="651">
        <v>44471</v>
      </c>
      <c r="B3" s="657" t="str">
        <f t="shared" si="0"/>
        <v>So</v>
      </c>
      <c r="C3" s="748">
        <f t="shared" si="1"/>
        <v>0</v>
      </c>
      <c r="D3" s="837">
        <f t="shared" si="2"/>
        <v>0</v>
      </c>
      <c r="E3" s="724"/>
      <c r="F3" s="726"/>
      <c r="G3" s="727"/>
      <c r="H3" s="654"/>
      <c r="I3" s="657"/>
      <c r="J3" s="654"/>
      <c r="K3" s="657"/>
      <c r="L3" s="654"/>
      <c r="M3" s="657"/>
      <c r="N3" s="714">
        <v>4</v>
      </c>
      <c r="O3" s="711" t="s">
        <v>19</v>
      </c>
      <c r="P3" s="717" t="s">
        <v>19</v>
      </c>
      <c r="Q3" s="738">
        <v>0</v>
      </c>
      <c r="R3" s="611" t="s">
        <v>17</v>
      </c>
      <c r="S3" s="611" t="s">
        <v>210</v>
      </c>
      <c r="T3" s="646"/>
      <c r="U3" s="718"/>
      <c r="V3" s="642">
        <f t="shared" si="5"/>
        <v>6</v>
      </c>
    </row>
    <row r="4" spans="1:22" ht="15.75" thickBot="1" x14ac:dyDescent="0.3">
      <c r="A4" s="651">
        <v>44472</v>
      </c>
      <c r="B4" s="657" t="str">
        <f t="shared" si="0"/>
        <v>Ne</v>
      </c>
      <c r="C4" s="748">
        <f t="shared" si="1"/>
        <v>0</v>
      </c>
      <c r="D4" s="837">
        <f t="shared" si="2"/>
        <v>0</v>
      </c>
      <c r="E4" s="724"/>
      <c r="F4" s="726"/>
      <c r="G4" s="727"/>
      <c r="H4" s="654"/>
      <c r="I4" s="657"/>
      <c r="J4" s="654"/>
      <c r="K4" s="657"/>
      <c r="L4" s="654"/>
      <c r="M4" s="657"/>
      <c r="N4" s="714">
        <v>4</v>
      </c>
      <c r="O4" s="835">
        <f>O40*24</f>
        <v>122.99999999999996</v>
      </c>
      <c r="P4" s="717">
        <v>123</v>
      </c>
      <c r="Q4" s="738">
        <v>0</v>
      </c>
      <c r="R4" s="611" t="s">
        <v>17</v>
      </c>
      <c r="S4" s="611" t="s">
        <v>210</v>
      </c>
      <c r="T4" s="646"/>
      <c r="U4" s="718"/>
      <c r="V4" s="642">
        <f t="shared" si="5"/>
        <v>7</v>
      </c>
    </row>
    <row r="5" spans="1:22" ht="15.75" thickBot="1" x14ac:dyDescent="0.3">
      <c r="A5" s="651">
        <v>44473</v>
      </c>
      <c r="B5" s="657" t="str">
        <f t="shared" si="0"/>
        <v>Po</v>
      </c>
      <c r="C5" s="748">
        <f t="shared" si="1"/>
        <v>0</v>
      </c>
      <c r="D5" s="837">
        <f t="shared" si="2"/>
        <v>0</v>
      </c>
      <c r="E5" s="724"/>
      <c r="F5" s="726"/>
      <c r="G5" s="727"/>
      <c r="H5" s="654"/>
      <c r="I5" s="657"/>
      <c r="J5" s="654"/>
      <c r="K5" s="657"/>
      <c r="L5" s="654"/>
      <c r="M5" s="657"/>
      <c r="N5" s="714">
        <v>4</v>
      </c>
      <c r="O5" s="711" t="s">
        <v>14</v>
      </c>
      <c r="P5" s="717" t="s">
        <v>14</v>
      </c>
      <c r="Q5" s="738">
        <v>42139</v>
      </c>
      <c r="R5" s="611" t="s">
        <v>17</v>
      </c>
      <c r="S5" s="611" t="s">
        <v>430</v>
      </c>
      <c r="T5" s="874">
        <v>44516</v>
      </c>
      <c r="U5" s="718"/>
      <c r="V5" s="642">
        <f t="shared" si="5"/>
        <v>1</v>
      </c>
    </row>
    <row r="6" spans="1:22" ht="15.75" thickBot="1" x14ac:dyDescent="0.3">
      <c r="A6" s="651">
        <v>44474</v>
      </c>
      <c r="B6" s="657" t="str">
        <f t="shared" si="0"/>
        <v>Út</v>
      </c>
      <c r="C6" s="748">
        <f t="shared" si="1"/>
        <v>0</v>
      </c>
      <c r="D6" s="837">
        <f t="shared" si="2"/>
        <v>0</v>
      </c>
      <c r="E6" s="724"/>
      <c r="F6" s="726"/>
      <c r="G6" s="727"/>
      <c r="H6" s="654"/>
      <c r="I6" s="657"/>
      <c r="J6" s="654"/>
      <c r="K6" s="657"/>
      <c r="L6" s="654"/>
      <c r="M6" s="657"/>
      <c r="N6" s="714">
        <v>4</v>
      </c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5"/>
        <v>2</v>
      </c>
    </row>
    <row r="7" spans="1:22" ht="15.75" thickBot="1" x14ac:dyDescent="0.3">
      <c r="A7" s="651">
        <v>44475</v>
      </c>
      <c r="B7" s="657" t="str">
        <f t="shared" si="0"/>
        <v>St</v>
      </c>
      <c r="C7" s="748">
        <f t="shared" si="1"/>
        <v>0</v>
      </c>
      <c r="D7" s="837">
        <f t="shared" si="2"/>
        <v>0</v>
      </c>
      <c r="E7" s="724"/>
      <c r="F7" s="726"/>
      <c r="G7" s="727"/>
      <c r="H7" s="654"/>
      <c r="I7" s="657"/>
      <c r="J7" s="654"/>
      <c r="K7" s="657"/>
      <c r="L7" s="654"/>
      <c r="M7" s="657"/>
      <c r="N7" s="714">
        <v>0</v>
      </c>
      <c r="O7" s="711" t="s">
        <v>20</v>
      </c>
      <c r="P7" s="646" t="s">
        <v>20</v>
      </c>
      <c r="Q7" s="721">
        <f>Q3+Q4</f>
        <v>0</v>
      </c>
      <c r="R7" s="718"/>
      <c r="S7" s="718"/>
      <c r="T7" s="718"/>
      <c r="U7" s="718"/>
      <c r="V7" s="642">
        <f t="shared" si="5"/>
        <v>3</v>
      </c>
    </row>
    <row r="8" spans="1:22" ht="15.75" thickBot="1" x14ac:dyDescent="0.3">
      <c r="A8" s="651">
        <v>44476</v>
      </c>
      <c r="B8" s="657" t="str">
        <f t="shared" si="0"/>
        <v>Čt</v>
      </c>
      <c r="C8" s="748">
        <f t="shared" si="1"/>
        <v>0.45833333333333326</v>
      </c>
      <c r="D8" s="837">
        <f t="shared" si="2"/>
        <v>0</v>
      </c>
      <c r="E8" s="724">
        <v>0.29166666666666669</v>
      </c>
      <c r="F8" s="726">
        <f t="shared" si="3"/>
        <v>4.1666666666666664E-2</v>
      </c>
      <c r="G8" s="727">
        <v>0.79166666666666663</v>
      </c>
      <c r="H8" s="654"/>
      <c r="I8" s="657"/>
      <c r="J8" s="654"/>
      <c r="K8" s="657"/>
      <c r="L8" s="654"/>
      <c r="M8" s="657"/>
      <c r="N8" s="714">
        <v>0</v>
      </c>
      <c r="O8" s="711" t="s">
        <v>22</v>
      </c>
      <c r="P8" s="646" t="s">
        <v>22</v>
      </c>
      <c r="Q8" s="657" t="s">
        <v>229</v>
      </c>
      <c r="R8" s="718"/>
      <c r="S8" s="718"/>
      <c r="T8" s="718"/>
      <c r="U8" s="718"/>
      <c r="V8" s="642">
        <f t="shared" si="5"/>
        <v>4</v>
      </c>
    </row>
    <row r="9" spans="1:22" ht="15.75" thickBot="1" x14ac:dyDescent="0.3">
      <c r="A9" s="651">
        <v>44477</v>
      </c>
      <c r="B9" s="657" t="str">
        <f t="shared" si="0"/>
        <v>Pá</v>
      </c>
      <c r="C9" s="748">
        <f t="shared" si="1"/>
        <v>0.45833333333333326</v>
      </c>
      <c r="D9" s="837">
        <f t="shared" si="2"/>
        <v>0</v>
      </c>
      <c r="E9" s="724">
        <v>0.29166666666666669</v>
      </c>
      <c r="F9" s="726">
        <f t="shared" si="3"/>
        <v>4.1666666666666664E-2</v>
      </c>
      <c r="G9" s="727">
        <v>0.79166666666666663</v>
      </c>
      <c r="H9" s="654"/>
      <c r="I9" s="657"/>
      <c r="J9" s="654"/>
      <c r="K9" s="657"/>
      <c r="L9" s="654"/>
      <c r="M9" s="657"/>
      <c r="N9" s="714">
        <v>0</v>
      </c>
      <c r="O9" s="711" t="s">
        <v>23</v>
      </c>
      <c r="P9" s="646" t="s">
        <v>23</v>
      </c>
      <c r="Q9" s="657">
        <f>SUM(Q2:Q4)</f>
        <v>44591</v>
      </c>
      <c r="R9" s="718"/>
      <c r="S9" s="718"/>
      <c r="T9" s="718"/>
      <c r="U9" s="718"/>
      <c r="V9" s="642">
        <f t="shared" si="5"/>
        <v>5</v>
      </c>
    </row>
    <row r="10" spans="1:22" ht="15.75" thickBot="1" x14ac:dyDescent="0.3">
      <c r="A10" s="651">
        <v>44478</v>
      </c>
      <c r="B10" s="657" t="str">
        <f t="shared" si="0"/>
        <v>So</v>
      </c>
      <c r="C10" s="748">
        <f t="shared" si="1"/>
        <v>0</v>
      </c>
      <c r="D10" s="837">
        <f t="shared" si="2"/>
        <v>0</v>
      </c>
      <c r="E10" s="724"/>
      <c r="F10" s="726"/>
      <c r="G10" s="727"/>
      <c r="H10" s="654"/>
      <c r="I10" s="657"/>
      <c r="J10" s="654"/>
      <c r="K10" s="657"/>
      <c r="L10" s="654"/>
      <c r="M10" s="657"/>
      <c r="N10" s="714">
        <v>0</v>
      </c>
      <c r="O10" s="738">
        <f>(O2*380)+U2</f>
        <v>46739.999999999985</v>
      </c>
      <c r="P10" s="747">
        <f>SUM(P2*380)</f>
        <v>46740</v>
      </c>
      <c r="Q10" s="719"/>
      <c r="R10" s="718"/>
      <c r="S10" s="718"/>
      <c r="T10" s="718"/>
      <c r="U10" s="718"/>
      <c r="V10" s="642">
        <f t="shared" si="5"/>
        <v>6</v>
      </c>
    </row>
    <row r="11" spans="1:22" ht="15.75" thickBot="1" x14ac:dyDescent="0.3">
      <c r="A11" s="651">
        <v>44479</v>
      </c>
      <c r="B11" s="657" t="str">
        <f t="shared" si="0"/>
        <v>Ne</v>
      </c>
      <c r="C11" s="748">
        <f t="shared" si="1"/>
        <v>0.45833333333333326</v>
      </c>
      <c r="D11" s="837">
        <f t="shared" si="2"/>
        <v>0</v>
      </c>
      <c r="E11" s="724">
        <v>0.29166666666666669</v>
      </c>
      <c r="F11" s="726">
        <f t="shared" si="3"/>
        <v>4.1666666666666664E-2</v>
      </c>
      <c r="G11" s="727">
        <v>0.79166666666666663</v>
      </c>
      <c r="H11" s="654"/>
      <c r="I11" s="657"/>
      <c r="J11" s="654"/>
      <c r="K11" s="657"/>
      <c r="L11" s="654"/>
      <c r="M11" s="657"/>
      <c r="N11" s="714">
        <v>0</v>
      </c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5"/>
        <v>7</v>
      </c>
    </row>
    <row r="12" spans="1:22" ht="15.75" thickBot="1" x14ac:dyDescent="0.3">
      <c r="A12" s="651">
        <v>44480</v>
      </c>
      <c r="B12" s="657" t="str">
        <f t="shared" si="0"/>
        <v>Po</v>
      </c>
      <c r="C12" s="748">
        <f t="shared" si="1"/>
        <v>0.45833333333333326</v>
      </c>
      <c r="D12" s="837">
        <f t="shared" si="2"/>
        <v>0</v>
      </c>
      <c r="E12" s="724">
        <v>0.29166666666666669</v>
      </c>
      <c r="F12" s="726">
        <f t="shared" si="3"/>
        <v>4.1666666666666664E-2</v>
      </c>
      <c r="G12" s="727">
        <v>0.79166666666666663</v>
      </c>
      <c r="H12" s="654"/>
      <c r="I12" s="657"/>
      <c r="J12" s="654"/>
      <c r="K12" s="657"/>
      <c r="L12" s="654"/>
      <c r="M12" s="657"/>
      <c r="N12" s="714">
        <v>0</v>
      </c>
      <c r="O12" s="738">
        <f>(O10+O20+O18-O22)-O14-P24</f>
        <v>51134.499999999985</v>
      </c>
      <c r="P12" s="747">
        <f>(P10+P18+P20-P22)-P14-P24</f>
        <v>47022.5</v>
      </c>
      <c r="Q12" s="718"/>
      <c r="R12" s="718"/>
      <c r="S12" s="718"/>
      <c r="T12" s="718"/>
      <c r="U12" s="718"/>
      <c r="V12" s="642">
        <f t="shared" si="5"/>
        <v>1</v>
      </c>
    </row>
    <row r="13" spans="1:22" ht="15.75" thickBot="1" x14ac:dyDescent="0.3">
      <c r="A13" s="651">
        <v>44481</v>
      </c>
      <c r="B13" s="657" t="str">
        <f t="shared" si="0"/>
        <v>Út</v>
      </c>
      <c r="C13" s="748">
        <f t="shared" si="1"/>
        <v>0.45833333333333326</v>
      </c>
      <c r="D13" s="837">
        <f t="shared" si="2"/>
        <v>0</v>
      </c>
      <c r="E13" s="724">
        <v>0.29166666666666669</v>
      </c>
      <c r="F13" s="726">
        <f t="shared" si="3"/>
        <v>4.1666666666666664E-2</v>
      </c>
      <c r="G13" s="727">
        <v>0.79166666666666663</v>
      </c>
      <c r="H13" s="654"/>
      <c r="I13" s="657"/>
      <c r="J13" s="654"/>
      <c r="K13" s="657"/>
      <c r="L13" s="654"/>
      <c r="M13" s="657"/>
      <c r="N13" s="714">
        <v>0</v>
      </c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5"/>
        <v>2</v>
      </c>
    </row>
    <row r="14" spans="1:22" ht="15.75" thickBot="1" x14ac:dyDescent="0.3">
      <c r="A14" s="651">
        <v>44482</v>
      </c>
      <c r="B14" s="657" t="str">
        <f t="shared" si="0"/>
        <v>St</v>
      </c>
      <c r="C14" s="748">
        <f t="shared" si="1"/>
        <v>0.45833333333333326</v>
      </c>
      <c r="D14" s="837">
        <f t="shared" si="2"/>
        <v>0</v>
      </c>
      <c r="E14" s="724">
        <v>0.29166666666666669</v>
      </c>
      <c r="F14" s="726">
        <f t="shared" si="3"/>
        <v>4.1666666666666664E-2</v>
      </c>
      <c r="G14" s="727">
        <v>0.79166666666666663</v>
      </c>
      <c r="H14" s="654"/>
      <c r="I14" s="657"/>
      <c r="J14" s="654"/>
      <c r="K14" s="657"/>
      <c r="L14" s="654"/>
      <c r="M14" s="657"/>
      <c r="N14" s="714">
        <v>0</v>
      </c>
      <c r="O14" s="738">
        <f>(O16*25.7)</f>
        <v>1413.5</v>
      </c>
      <c r="P14" s="747">
        <f>(P16*25.7)</f>
        <v>5525.5</v>
      </c>
      <c r="Q14" s="1001" t="s">
        <v>454</v>
      </c>
      <c r="R14" s="1002">
        <v>-7066</v>
      </c>
      <c r="S14" s="1001"/>
      <c r="T14" s="1001" t="s">
        <v>456</v>
      </c>
      <c r="U14" s="1001">
        <v>5526</v>
      </c>
      <c r="V14" s="642">
        <f t="shared" si="5"/>
        <v>3</v>
      </c>
    </row>
    <row r="15" spans="1:22" ht="15.75" thickBot="1" x14ac:dyDescent="0.3">
      <c r="A15" s="651">
        <v>44483</v>
      </c>
      <c r="B15" s="657" t="str">
        <f t="shared" si="0"/>
        <v>Čt</v>
      </c>
      <c r="C15" s="748">
        <f t="shared" si="1"/>
        <v>0.45833333333333326</v>
      </c>
      <c r="D15" s="837">
        <f t="shared" si="2"/>
        <v>0</v>
      </c>
      <c r="E15" s="724">
        <v>0.29166666666666669</v>
      </c>
      <c r="F15" s="726">
        <f t="shared" si="3"/>
        <v>4.1666666666666664E-2</v>
      </c>
      <c r="G15" s="727">
        <v>0.79166666666666663</v>
      </c>
      <c r="H15" s="654"/>
      <c r="I15" s="657"/>
      <c r="J15" s="654"/>
      <c r="K15" s="657"/>
      <c r="L15" s="654"/>
      <c r="M15" s="657"/>
      <c r="N15" s="714">
        <v>0</v>
      </c>
      <c r="O15" s="711" t="s">
        <v>29</v>
      </c>
      <c r="P15" s="646" t="s">
        <v>29</v>
      </c>
      <c r="Q15" s="1001" t="s">
        <v>455</v>
      </c>
      <c r="R15" s="1002">
        <f>O10</f>
        <v>46739.999999999985</v>
      </c>
      <c r="S15" s="1001"/>
      <c r="T15" s="1001" t="s">
        <v>457</v>
      </c>
      <c r="U15" s="1002">
        <f>O10+O18+O20</f>
        <v>59331.999999999985</v>
      </c>
      <c r="V15" s="642">
        <f t="shared" si="5"/>
        <v>4</v>
      </c>
    </row>
    <row r="16" spans="1:22" ht="15.75" thickBot="1" x14ac:dyDescent="0.3">
      <c r="A16" s="651">
        <v>44484</v>
      </c>
      <c r="B16" s="657" t="str">
        <f t="shared" si="0"/>
        <v>Pá</v>
      </c>
      <c r="C16" s="748">
        <f t="shared" si="1"/>
        <v>0.16666666666666663</v>
      </c>
      <c r="D16" s="837">
        <f t="shared" si="2"/>
        <v>0</v>
      </c>
      <c r="E16" s="724">
        <v>0.29166666666666669</v>
      </c>
      <c r="F16" s="726"/>
      <c r="G16" s="727">
        <v>0.45833333333333331</v>
      </c>
      <c r="H16" s="654"/>
      <c r="I16" s="657"/>
      <c r="J16" s="654"/>
      <c r="K16" s="657"/>
      <c r="L16" s="654"/>
      <c r="M16" s="657"/>
      <c r="N16" s="714">
        <v>0</v>
      </c>
      <c r="O16" s="893">
        <f>'06cash21'!O35-660</f>
        <v>55</v>
      </c>
      <c r="P16" s="894">
        <v>215</v>
      </c>
      <c r="Q16" s="1001"/>
      <c r="R16" s="1003">
        <f>R15-R14</f>
        <v>53805.999999999985</v>
      </c>
      <c r="S16" s="1001"/>
      <c r="T16" s="1001"/>
      <c r="U16" s="1002">
        <f>U15-U14</f>
        <v>53805.999999999985</v>
      </c>
      <c r="V16" s="642">
        <f t="shared" si="5"/>
        <v>5</v>
      </c>
    </row>
    <row r="17" spans="1:22" ht="15.75" thickBot="1" x14ac:dyDescent="0.3">
      <c r="A17" s="651">
        <v>44485</v>
      </c>
      <c r="B17" s="657" t="str">
        <f t="shared" si="0"/>
        <v>So</v>
      </c>
      <c r="C17" s="748">
        <f t="shared" si="1"/>
        <v>0</v>
      </c>
      <c r="D17" s="837">
        <f t="shared" si="2"/>
        <v>0</v>
      </c>
      <c r="E17" s="724"/>
      <c r="F17" s="726"/>
      <c r="G17" s="727"/>
      <c r="H17" s="654"/>
      <c r="I17" s="657"/>
      <c r="J17" s="654"/>
      <c r="K17" s="657"/>
      <c r="L17" s="654"/>
      <c r="M17" s="657"/>
      <c r="N17" s="714">
        <v>0</v>
      </c>
      <c r="O17" s="711" t="s">
        <v>31</v>
      </c>
      <c r="P17" s="646" t="s">
        <v>31</v>
      </c>
      <c r="Q17" s="1001"/>
      <c r="R17" s="1001"/>
      <c r="S17" s="1002">
        <f>R16-Q5</f>
        <v>11666.999999999985</v>
      </c>
      <c r="T17" s="1002">
        <f>U16-Q5</f>
        <v>11666.999999999985</v>
      </c>
      <c r="U17" s="1001"/>
      <c r="V17" s="642">
        <f t="shared" si="5"/>
        <v>6</v>
      </c>
    </row>
    <row r="18" spans="1:22" ht="15.75" thickBot="1" x14ac:dyDescent="0.3">
      <c r="A18" s="651">
        <v>44486</v>
      </c>
      <c r="B18" s="657" t="str">
        <f t="shared" si="0"/>
        <v>Ne</v>
      </c>
      <c r="C18" s="748">
        <f t="shared" si="1"/>
        <v>0</v>
      </c>
      <c r="D18" s="837">
        <f t="shared" si="2"/>
        <v>0</v>
      </c>
      <c r="E18" s="724"/>
      <c r="F18" s="726"/>
      <c r="G18" s="727"/>
      <c r="H18" s="654"/>
      <c r="I18" s="657"/>
      <c r="J18" s="654"/>
      <c r="K18" s="657"/>
      <c r="L18" s="654"/>
      <c r="M18" s="657"/>
      <c r="N18" s="714">
        <v>0</v>
      </c>
      <c r="O18" s="738">
        <v>2312</v>
      </c>
      <c r="P18" s="747">
        <v>2312</v>
      </c>
      <c r="Q18" s="1001"/>
      <c r="R18" s="1001"/>
      <c r="S18" s="1001"/>
      <c r="T18" s="1001"/>
      <c r="U18" s="1001"/>
      <c r="V18" s="642">
        <f t="shared" si="5"/>
        <v>7</v>
      </c>
    </row>
    <row r="19" spans="1:22" ht="15.75" thickBot="1" x14ac:dyDescent="0.3">
      <c r="A19" s="651">
        <v>44487</v>
      </c>
      <c r="B19" s="657" t="str">
        <f t="shared" si="0"/>
        <v>Po</v>
      </c>
      <c r="C19" s="748">
        <f t="shared" si="1"/>
        <v>0.45833333333333326</v>
      </c>
      <c r="D19" s="837">
        <f t="shared" si="2"/>
        <v>0</v>
      </c>
      <c r="E19" s="724">
        <v>0.29166666666666669</v>
      </c>
      <c r="F19" s="726">
        <f t="shared" si="3"/>
        <v>4.1666666666666664E-2</v>
      </c>
      <c r="G19" s="727">
        <v>0.79166666666666663</v>
      </c>
      <c r="H19" s="654"/>
      <c r="I19" s="657"/>
      <c r="J19" s="654"/>
      <c r="K19" s="657"/>
      <c r="L19" s="654"/>
      <c r="M19" s="657"/>
      <c r="N19" s="714">
        <v>0</v>
      </c>
      <c r="O19" s="738" t="s">
        <v>33</v>
      </c>
      <c r="P19" s="747" t="s">
        <v>33</v>
      </c>
      <c r="Q19" s="1001"/>
      <c r="R19" s="1001"/>
      <c r="S19" s="1001"/>
      <c r="T19" s="1001"/>
      <c r="U19" s="1001"/>
      <c r="V19" s="642">
        <f t="shared" si="5"/>
        <v>1</v>
      </c>
    </row>
    <row r="20" spans="1:22" ht="15.75" thickBot="1" x14ac:dyDescent="0.3">
      <c r="A20" s="651">
        <v>44488</v>
      </c>
      <c r="B20" s="657" t="str">
        <f t="shared" si="0"/>
        <v>Út</v>
      </c>
      <c r="C20" s="748">
        <f t="shared" si="1"/>
        <v>0.45833333333333326</v>
      </c>
      <c r="D20" s="837">
        <f t="shared" si="2"/>
        <v>0</v>
      </c>
      <c r="E20" s="724">
        <v>0.29166666666666669</v>
      </c>
      <c r="F20" s="726">
        <f t="shared" si="3"/>
        <v>4.1666666666666664E-2</v>
      </c>
      <c r="G20" s="727">
        <v>0.79166666666666663</v>
      </c>
      <c r="H20" s="654"/>
      <c r="I20" s="657"/>
      <c r="J20" s="654"/>
      <c r="K20" s="657"/>
      <c r="L20" s="654"/>
      <c r="M20" s="657"/>
      <c r="N20" s="714">
        <v>0</v>
      </c>
      <c r="O20" s="738">
        <v>10280</v>
      </c>
      <c r="P20" s="747">
        <v>10280</v>
      </c>
      <c r="Q20" s="1001"/>
      <c r="R20" s="1001"/>
      <c r="S20" s="1001"/>
      <c r="T20" s="1001"/>
      <c r="U20" s="1001"/>
      <c r="V20" s="642">
        <f t="shared" si="5"/>
        <v>2</v>
      </c>
    </row>
    <row r="21" spans="1:22" ht="15.75" thickBot="1" x14ac:dyDescent="0.3">
      <c r="A21" s="651">
        <v>44489</v>
      </c>
      <c r="B21" s="657" t="str">
        <f t="shared" si="0"/>
        <v>St</v>
      </c>
      <c r="C21" s="748">
        <f t="shared" si="1"/>
        <v>0.45833333333333326</v>
      </c>
      <c r="D21" s="837">
        <f t="shared" si="2"/>
        <v>0</v>
      </c>
      <c r="E21" s="724">
        <v>0.29166666666666669</v>
      </c>
      <c r="F21" s="726">
        <f t="shared" si="3"/>
        <v>4.1666666666666664E-2</v>
      </c>
      <c r="G21" s="727">
        <v>0.79166666666666663</v>
      </c>
      <c r="H21" s="654"/>
      <c r="I21" s="657"/>
      <c r="J21" s="654"/>
      <c r="K21" s="657"/>
      <c r="L21" s="654"/>
      <c r="M21" s="657"/>
      <c r="N21" s="714">
        <v>0</v>
      </c>
      <c r="O21" s="738" t="s">
        <v>34</v>
      </c>
      <c r="P21" s="747" t="s">
        <v>34</v>
      </c>
      <c r="Q21" s="1001"/>
      <c r="R21" s="1001"/>
      <c r="S21" s="1001"/>
      <c r="T21" s="1001"/>
      <c r="U21" s="1001"/>
      <c r="V21" s="642">
        <f t="shared" si="5"/>
        <v>3</v>
      </c>
    </row>
    <row r="22" spans="1:22" ht="15.75" thickBot="1" x14ac:dyDescent="0.3">
      <c r="A22" s="651">
        <v>44490</v>
      </c>
      <c r="B22" s="657" t="str">
        <f t="shared" si="0"/>
        <v>Čt</v>
      </c>
      <c r="C22" s="748">
        <f t="shared" si="1"/>
        <v>0</v>
      </c>
      <c r="D22" s="837">
        <f t="shared" si="2"/>
        <v>0</v>
      </c>
      <c r="E22" s="724"/>
      <c r="F22" s="726"/>
      <c r="G22" s="727"/>
      <c r="H22" s="654"/>
      <c r="I22" s="657"/>
      <c r="J22" s="654"/>
      <c r="K22" s="657"/>
      <c r="L22" s="654"/>
      <c r="M22" s="657"/>
      <c r="N22" s="714">
        <v>0</v>
      </c>
      <c r="O22" s="738">
        <v>0</v>
      </c>
      <c r="P22" s="747">
        <v>0</v>
      </c>
      <c r="Q22" s="1001"/>
      <c r="R22" s="1002">
        <f>S17-P24</f>
        <v>4882.9999999999854</v>
      </c>
      <c r="S22" s="1002">
        <f>T17-P24</f>
        <v>4882.9999999999854</v>
      </c>
      <c r="T22" s="1001"/>
      <c r="U22" s="1001"/>
      <c r="V22" s="642">
        <f t="shared" si="5"/>
        <v>4</v>
      </c>
    </row>
    <row r="23" spans="1:22" ht="15.75" thickBot="1" x14ac:dyDescent="0.3">
      <c r="A23" s="651">
        <v>44491</v>
      </c>
      <c r="B23" s="657" t="str">
        <f t="shared" si="0"/>
        <v>Pá</v>
      </c>
      <c r="C23" s="748">
        <f t="shared" si="1"/>
        <v>0</v>
      </c>
      <c r="D23" s="837">
        <f t="shared" si="2"/>
        <v>0</v>
      </c>
      <c r="E23" s="724"/>
      <c r="F23" s="726"/>
      <c r="G23" s="727"/>
      <c r="H23" s="654"/>
      <c r="I23" s="657"/>
      <c r="J23" s="654"/>
      <c r="K23" s="657"/>
      <c r="L23" s="654"/>
      <c r="M23" s="657"/>
      <c r="N23" s="714">
        <v>0</v>
      </c>
      <c r="O23" s="897" t="s">
        <v>364</v>
      </c>
      <c r="P23" s="895" t="s">
        <v>363</v>
      </c>
      <c r="Q23" s="1001"/>
      <c r="R23" s="1001"/>
      <c r="S23" s="1001"/>
      <c r="T23" s="1001"/>
      <c r="U23" s="1001"/>
      <c r="V23" s="642">
        <f t="shared" si="5"/>
        <v>5</v>
      </c>
    </row>
    <row r="24" spans="1:22" ht="15.75" thickBot="1" x14ac:dyDescent="0.3">
      <c r="A24" s="651">
        <v>44492</v>
      </c>
      <c r="B24" s="657" t="str">
        <f t="shared" si="0"/>
        <v>So</v>
      </c>
      <c r="C24" s="748">
        <f t="shared" si="1"/>
        <v>0</v>
      </c>
      <c r="D24" s="837">
        <f t="shared" si="2"/>
        <v>0</v>
      </c>
      <c r="E24" s="724"/>
      <c r="F24" s="726"/>
      <c r="G24" s="727"/>
      <c r="H24" s="654"/>
      <c r="I24" s="657"/>
      <c r="J24" s="654"/>
      <c r="K24" s="657"/>
      <c r="L24" s="654"/>
      <c r="M24" s="657"/>
      <c r="N24" s="714">
        <v>0</v>
      </c>
      <c r="O24" s="898">
        <f>P12-Q5</f>
        <v>4883.5</v>
      </c>
      <c r="P24" s="747">
        <f>O26-O28</f>
        <v>6784</v>
      </c>
      <c r="Q24" s="1002"/>
      <c r="R24" s="1001"/>
      <c r="S24" s="1001"/>
      <c r="T24" s="1001"/>
      <c r="U24" s="1001"/>
      <c r="V24" s="642">
        <f t="shared" si="5"/>
        <v>6</v>
      </c>
    </row>
    <row r="25" spans="1:22" ht="15.75" thickBot="1" x14ac:dyDescent="0.3">
      <c r="A25" s="651">
        <v>44493</v>
      </c>
      <c r="B25" s="657" t="str">
        <f t="shared" si="0"/>
        <v>Ne</v>
      </c>
      <c r="C25" s="748">
        <f t="shared" si="1"/>
        <v>0</v>
      </c>
      <c r="D25" s="837">
        <f t="shared" si="2"/>
        <v>0</v>
      </c>
      <c r="E25" s="724"/>
      <c r="F25" s="726"/>
      <c r="G25" s="727"/>
      <c r="H25" s="654"/>
      <c r="I25" s="657"/>
      <c r="J25" s="654"/>
      <c r="K25" s="657"/>
      <c r="L25" s="654"/>
      <c r="M25" s="657"/>
      <c r="N25" s="714">
        <v>0</v>
      </c>
      <c r="O25" s="711" t="s">
        <v>372</v>
      </c>
      <c r="P25" s="646"/>
      <c r="Q25" s="1001"/>
      <c r="R25" s="1001"/>
      <c r="S25" s="1001"/>
      <c r="T25" s="1001"/>
      <c r="U25" s="1001"/>
      <c r="V25" s="642">
        <f t="shared" si="5"/>
        <v>7</v>
      </c>
    </row>
    <row r="26" spans="1:22" ht="15.75" thickBot="1" x14ac:dyDescent="0.3">
      <c r="A26" s="651">
        <v>44494</v>
      </c>
      <c r="B26" s="657" t="str">
        <f t="shared" si="0"/>
        <v>Po</v>
      </c>
      <c r="C26" s="748">
        <f t="shared" si="1"/>
        <v>0</v>
      </c>
      <c r="D26" s="837">
        <f t="shared" si="2"/>
        <v>0</v>
      </c>
      <c r="E26" s="724"/>
      <c r="F26" s="726"/>
      <c r="G26" s="727"/>
      <c r="H26" s="654"/>
      <c r="I26" s="657"/>
      <c r="J26" s="654"/>
      <c r="K26" s="657"/>
      <c r="L26" s="654"/>
      <c r="M26" s="657"/>
      <c r="N26" s="714">
        <v>0</v>
      </c>
      <c r="O26" s="738">
        <v>100414</v>
      </c>
      <c r="P26" s="747"/>
      <c r="Q26" s="718"/>
      <c r="R26" s="718"/>
      <c r="S26" s="718"/>
      <c r="T26" s="718"/>
      <c r="U26" s="718"/>
      <c r="V26" s="642">
        <f t="shared" si="5"/>
        <v>1</v>
      </c>
    </row>
    <row r="27" spans="1:22" ht="15.75" thickBot="1" x14ac:dyDescent="0.3">
      <c r="A27" s="651">
        <v>44495</v>
      </c>
      <c r="B27" s="657" t="str">
        <f t="shared" si="0"/>
        <v>Út</v>
      </c>
      <c r="C27" s="748">
        <f t="shared" si="1"/>
        <v>0</v>
      </c>
      <c r="D27" s="837">
        <f t="shared" si="2"/>
        <v>0</v>
      </c>
      <c r="E27" s="724"/>
      <c r="F27" s="726"/>
      <c r="G27" s="727"/>
      <c r="H27" s="654"/>
      <c r="I27" s="657"/>
      <c r="J27" s="654"/>
      <c r="K27" s="657"/>
      <c r="L27" s="654"/>
      <c r="M27" s="657"/>
      <c r="N27" s="714">
        <v>0</v>
      </c>
      <c r="O27" s="711" t="s">
        <v>373</v>
      </c>
      <c r="P27" s="646"/>
      <c r="Q27" s="718"/>
      <c r="R27" s="718"/>
      <c r="S27" s="718"/>
      <c r="T27" s="718"/>
      <c r="U27" s="718"/>
      <c r="V27" s="642">
        <f t="shared" si="5"/>
        <v>2</v>
      </c>
    </row>
    <row r="28" spans="1:22" ht="15.75" thickBot="1" x14ac:dyDescent="0.3">
      <c r="A28" s="651">
        <v>44496</v>
      </c>
      <c r="B28" s="657" t="str">
        <f t="shared" si="0"/>
        <v>St</v>
      </c>
      <c r="C28" s="748">
        <f t="shared" si="1"/>
        <v>0</v>
      </c>
      <c r="D28" s="837">
        <f t="shared" si="2"/>
        <v>0</v>
      </c>
      <c r="E28" s="724"/>
      <c r="F28" s="726"/>
      <c r="G28" s="727"/>
      <c r="H28" s="654"/>
      <c r="I28" s="657"/>
      <c r="J28" s="654"/>
      <c r="K28" s="657"/>
      <c r="L28" s="654"/>
      <c r="M28" s="657"/>
      <c r="N28" s="714">
        <v>0</v>
      </c>
      <c r="O28" s="738">
        <f>'09hod21'!O26</f>
        <v>93630</v>
      </c>
      <c r="P28" s="646"/>
      <c r="Q28" s="718"/>
      <c r="R28" s="718"/>
      <c r="S28" s="718"/>
      <c r="T28" s="718"/>
      <c r="U28" s="718"/>
      <c r="V28" s="642">
        <f t="shared" si="5"/>
        <v>3</v>
      </c>
    </row>
    <row r="29" spans="1:22" ht="15.75" thickBot="1" x14ac:dyDescent="0.3">
      <c r="A29" s="651">
        <v>44497</v>
      </c>
      <c r="B29" s="657" t="str">
        <f t="shared" si="0"/>
        <v>Čt</v>
      </c>
      <c r="C29" s="748">
        <f t="shared" si="1"/>
        <v>0</v>
      </c>
      <c r="D29" s="837">
        <f t="shared" si="2"/>
        <v>0</v>
      </c>
      <c r="E29" s="724"/>
      <c r="F29" s="726"/>
      <c r="G29" s="727"/>
      <c r="H29" s="654"/>
      <c r="I29" s="657"/>
      <c r="J29" s="654"/>
      <c r="K29" s="657"/>
      <c r="L29" s="654"/>
      <c r="M29" s="657"/>
      <c r="N29" s="714">
        <v>0</v>
      </c>
      <c r="O29" s="712"/>
      <c r="P29" s="648"/>
      <c r="Q29" s="718"/>
      <c r="R29" s="718"/>
      <c r="S29" s="718"/>
      <c r="T29" s="718"/>
      <c r="U29" s="718"/>
      <c r="V29" s="642">
        <f t="shared" si="5"/>
        <v>4</v>
      </c>
    </row>
    <row r="30" spans="1:22" ht="15.75" thickBot="1" x14ac:dyDescent="0.3">
      <c r="A30" s="651">
        <v>44498</v>
      </c>
      <c r="B30" s="657" t="str">
        <f t="shared" si="0"/>
        <v>Pá</v>
      </c>
      <c r="C30" s="748">
        <f t="shared" si="1"/>
        <v>0</v>
      </c>
      <c r="D30" s="837">
        <f t="shared" si="2"/>
        <v>0</v>
      </c>
      <c r="E30" s="724"/>
      <c r="F30" s="726"/>
      <c r="G30" s="727"/>
      <c r="H30" s="654"/>
      <c r="I30" s="657"/>
      <c r="J30" s="654"/>
      <c r="K30" s="657"/>
      <c r="L30" s="654"/>
      <c r="M30" s="657"/>
      <c r="N30" s="708">
        <v>3</v>
      </c>
      <c r="O30" s="715"/>
      <c r="P30" s="720"/>
      <c r="Q30" s="718"/>
      <c r="R30" s="718"/>
      <c r="S30" s="718"/>
      <c r="T30" s="718"/>
      <c r="U30" s="718"/>
      <c r="V30" s="642">
        <f t="shared" si="5"/>
        <v>5</v>
      </c>
    </row>
    <row r="31" spans="1:22" ht="15.75" thickBot="1" x14ac:dyDescent="0.3">
      <c r="A31" s="651">
        <v>44499</v>
      </c>
      <c r="B31" s="657" t="str">
        <f t="shared" si="0"/>
        <v>So</v>
      </c>
      <c r="C31" s="748">
        <f t="shared" si="1"/>
        <v>0</v>
      </c>
      <c r="D31" s="837">
        <f t="shared" si="2"/>
        <v>0</v>
      </c>
      <c r="E31" s="724"/>
      <c r="F31" s="726"/>
      <c r="G31" s="727"/>
      <c r="H31" s="654"/>
      <c r="I31" s="657"/>
      <c r="J31" s="654"/>
      <c r="K31" s="657"/>
      <c r="L31" s="654"/>
      <c r="M31" s="657"/>
      <c r="N31" s="708">
        <v>4</v>
      </c>
      <c r="O31" s="649"/>
      <c r="P31" s="646"/>
      <c r="Q31" s="718"/>
      <c r="R31" s="718"/>
      <c r="S31" s="718"/>
      <c r="T31" s="718"/>
      <c r="U31" s="718"/>
      <c r="V31" s="642">
        <f t="shared" si="5"/>
        <v>6</v>
      </c>
    </row>
    <row r="32" spans="1:22" ht="15.75" thickBot="1" x14ac:dyDescent="0.3">
      <c r="A32" s="651">
        <v>44500</v>
      </c>
      <c r="B32" s="657" t="str">
        <f t="shared" si="0"/>
        <v>Ne</v>
      </c>
      <c r="C32" s="748">
        <f t="shared" si="1"/>
        <v>0</v>
      </c>
      <c r="D32" s="837">
        <f t="shared" si="2"/>
        <v>0</v>
      </c>
      <c r="E32" s="724"/>
      <c r="F32" s="726"/>
      <c r="G32" s="727"/>
      <c r="H32" s="654"/>
      <c r="I32" s="657"/>
      <c r="J32" s="654"/>
      <c r="K32" s="657"/>
      <c r="L32" s="654"/>
      <c r="M32" s="657"/>
      <c r="N32" s="708">
        <v>4</v>
      </c>
      <c r="O32" s="649"/>
      <c r="P32" s="646"/>
      <c r="Q32" s="718"/>
      <c r="R32" s="718"/>
      <c r="S32" s="718"/>
      <c r="T32" s="718"/>
      <c r="U32" s="718"/>
      <c r="V32" s="642">
        <f t="shared" si="5"/>
        <v>7</v>
      </c>
    </row>
    <row r="33" spans="1:22" ht="15.75" thickBot="1" x14ac:dyDescent="0.3">
      <c r="A33" s="651">
        <v>44501</v>
      </c>
      <c r="B33" s="657" t="str">
        <f t="shared" si="0"/>
        <v>Po</v>
      </c>
      <c r="C33" s="748">
        <f t="shared" si="1"/>
        <v>0</v>
      </c>
      <c r="D33" s="837">
        <f t="shared" si="2"/>
        <v>0</v>
      </c>
      <c r="E33" s="724"/>
      <c r="F33" s="726"/>
      <c r="G33" s="727"/>
      <c r="H33" s="654"/>
      <c r="I33" s="657"/>
      <c r="J33" s="654"/>
      <c r="K33" s="657"/>
      <c r="L33" s="654"/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1</v>
      </c>
    </row>
    <row r="34" spans="1:22" ht="15.75" thickBot="1" x14ac:dyDescent="0.3">
      <c r="A34" s="651">
        <v>44502</v>
      </c>
      <c r="B34" s="657" t="str">
        <f t="shared" si="0"/>
        <v>Út</v>
      </c>
      <c r="C34" s="748">
        <f t="shared" si="1"/>
        <v>0</v>
      </c>
      <c r="D34" s="837">
        <f t="shared" si="2"/>
        <v>0</v>
      </c>
      <c r="E34" s="724"/>
      <c r="F34" s="726"/>
      <c r="G34" s="727"/>
      <c r="H34" s="654"/>
      <c r="I34" s="657"/>
      <c r="J34" s="654"/>
      <c r="K34" s="657"/>
      <c r="L34" s="654"/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6">WEEKDAY(A34,2)</f>
        <v>2</v>
      </c>
    </row>
    <row r="35" spans="1:22" ht="15.75" thickBot="1" x14ac:dyDescent="0.3">
      <c r="A35" s="651">
        <v>44503</v>
      </c>
      <c r="B35" s="658" t="str">
        <f t="shared" si="0"/>
        <v>St</v>
      </c>
      <c r="C35" s="748">
        <f t="shared" si="1"/>
        <v>0</v>
      </c>
      <c r="D35" s="838">
        <f t="shared" si="2"/>
        <v>0</v>
      </c>
      <c r="E35" s="725"/>
      <c r="F35" s="726"/>
      <c r="G35" s="728"/>
      <c r="H35" s="655"/>
      <c r="I35" s="658"/>
      <c r="J35" s="655"/>
      <c r="K35" s="658"/>
      <c r="L35" s="655"/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6"/>
        <v>3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5.1249999999999982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drawing r:id="rId1"/>
  <tableParts count="1">
    <tablePart r:id="rId2"/>
  </tableParts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095E60-F9F3-D34C-B254-A797F3EA742A}">
  <dimension ref="A1:V45"/>
  <sheetViews>
    <sheetView topLeftCell="Q1" zoomScaleNormal="60" zoomScaleSheetLayoutView="100" workbookViewId="0">
      <selection activeCell="Y20" sqref="Y20"/>
    </sheetView>
  </sheetViews>
  <sheetFormatPr defaultColWidth="8.5703125" defaultRowHeight="15" x14ac:dyDescent="0.25"/>
  <cols>
    <col min="1" max="1" width="11" bestFit="1" customWidth="1"/>
    <col min="2" max="2" width="7.42578125" bestFit="1" customWidth="1"/>
    <col min="3" max="3" width="12.85546875" customWidth="1"/>
    <col min="4" max="4" width="11.28515625" bestFit="1" customWidth="1"/>
    <col min="5" max="6" width="11.28515625" customWidth="1"/>
    <col min="7" max="7" width="7.85546875" customWidth="1"/>
    <col min="8" max="8" width="14.5703125" customWidth="1"/>
    <col min="9" max="9" width="9.42578125" bestFit="1" customWidth="1"/>
    <col min="10" max="10" width="8" bestFit="1" customWidth="1"/>
    <col min="11" max="11" width="14.85546875" bestFit="1" customWidth="1"/>
    <col min="12" max="12" width="10.42578125" bestFit="1" customWidth="1"/>
    <col min="13" max="13" width="8.7109375" bestFit="1" customWidth="1"/>
    <col min="14" max="14" width="8.42578125" bestFit="1" customWidth="1"/>
    <col min="15" max="17" width="20.140625" bestFit="1" customWidth="1"/>
    <col min="18" max="18" width="8.7109375" bestFit="1" customWidth="1"/>
    <col min="19" max="19" width="13" bestFit="1" customWidth="1"/>
    <col min="20" max="20" width="10.42578125" bestFit="1" customWidth="1"/>
    <col min="21" max="21" width="10.28515625" bestFit="1" customWidth="1"/>
    <col min="22" max="22" width="8.5703125" style="643"/>
  </cols>
  <sheetData>
    <row r="1" spans="1:22" ht="15.75" thickBot="1" x14ac:dyDescent="0.3">
      <c r="A1" s="650" t="s">
        <v>0</v>
      </c>
      <c r="B1" s="650" t="s">
        <v>1</v>
      </c>
      <c r="C1" s="650" t="s">
        <v>127</v>
      </c>
      <c r="D1" s="650" t="s">
        <v>128</v>
      </c>
      <c r="E1" s="650" t="s">
        <v>286</v>
      </c>
      <c r="F1" s="650" t="s">
        <v>317</v>
      </c>
      <c r="G1" s="650" t="s">
        <v>285</v>
      </c>
      <c r="H1" s="650" t="s">
        <v>4</v>
      </c>
      <c r="I1" s="650" t="s">
        <v>5</v>
      </c>
      <c r="J1" s="650" t="s">
        <v>6</v>
      </c>
      <c r="K1" s="650" t="s">
        <v>7</v>
      </c>
      <c r="L1" s="650" t="s">
        <v>265</v>
      </c>
      <c r="M1" s="650" t="s">
        <v>8</v>
      </c>
      <c r="N1" s="650" t="s">
        <v>129</v>
      </c>
      <c r="O1" s="650" t="s">
        <v>9</v>
      </c>
      <c r="P1" s="650" t="s">
        <v>155</v>
      </c>
      <c r="Q1" s="650" t="s">
        <v>10</v>
      </c>
      <c r="R1" s="650" t="s">
        <v>11</v>
      </c>
      <c r="S1" s="650" t="s">
        <v>12</v>
      </c>
      <c r="T1" s="650" t="s">
        <v>13</v>
      </c>
      <c r="U1" s="650" t="s">
        <v>14</v>
      </c>
      <c r="V1" s="642"/>
    </row>
    <row r="2" spans="1:22" ht="15.75" thickBot="1" x14ac:dyDescent="0.3">
      <c r="A2" s="651">
        <v>44562</v>
      </c>
      <c r="B2" s="656" t="str">
        <f t="shared" ref="B2:B35" si="0">CHOOSE(WEEKDAY(V2),"Po","Út","St","Čt","Pá","So","Ne")</f>
        <v>So</v>
      </c>
      <c r="C2" s="748">
        <f t="shared" ref="C2:C35" si="1">G2-E2-F2</f>
        <v>-2.0833333333333332E-2</v>
      </c>
      <c r="D2" s="836">
        <f t="shared" ref="D2:D35" si="2">(N2*C2)*24</f>
        <v>0</v>
      </c>
      <c r="E2" s="723"/>
      <c r="F2" s="726">
        <f>TIME(0,30,0)</f>
        <v>2.0833333333333332E-2</v>
      </c>
      <c r="G2" s="1029"/>
      <c r="H2" s="1028"/>
      <c r="I2" s="656"/>
      <c r="J2" s="653"/>
      <c r="K2" s="656"/>
      <c r="L2" s="653"/>
      <c r="M2" s="656"/>
      <c r="N2" s="713"/>
      <c r="O2" s="834">
        <f>(O4+O6)</f>
        <v>-1.5</v>
      </c>
      <c r="P2" s="716">
        <f t="shared" ref="P2" si="3">P4+P6</f>
        <v>0</v>
      </c>
      <c r="Q2" s="853">
        <f>'11hod21'!Q5</f>
        <v>46891</v>
      </c>
      <c r="R2" s="644" t="s">
        <v>17</v>
      </c>
      <c r="S2" s="644" t="s">
        <v>431</v>
      </c>
      <c r="T2" s="875">
        <v>44546</v>
      </c>
      <c r="U2" s="722">
        <f>T7*20</f>
        <v>0</v>
      </c>
      <c r="V2" s="642">
        <f t="shared" ref="V2:V32" si="4">WEEKDAY(A2,2)</f>
        <v>6</v>
      </c>
    </row>
    <row r="3" spans="1:22" ht="15.75" thickBot="1" x14ac:dyDescent="0.3">
      <c r="A3" s="651">
        <v>44563</v>
      </c>
      <c r="B3" s="657" t="str">
        <f t="shared" si="0"/>
        <v>Ne</v>
      </c>
      <c r="C3" s="748">
        <f t="shared" si="1"/>
        <v>-4.1666666666666664E-2</v>
      </c>
      <c r="D3" s="837">
        <f t="shared" si="2"/>
        <v>0</v>
      </c>
      <c r="E3" s="723"/>
      <c r="F3" s="726">
        <f>TIME(1,0,0)</f>
        <v>4.1666666666666664E-2</v>
      </c>
      <c r="G3" s="1029"/>
      <c r="H3" s="1026"/>
      <c r="I3" s="657"/>
      <c r="J3" s="654"/>
      <c r="K3" s="657"/>
      <c r="L3" s="654"/>
      <c r="M3" s="657"/>
      <c r="N3" s="714"/>
      <c r="O3" s="711" t="s">
        <v>19</v>
      </c>
      <c r="P3" s="717" t="s">
        <v>19</v>
      </c>
      <c r="Q3" s="738">
        <v>115461</v>
      </c>
      <c r="R3" s="611" t="s">
        <v>48</v>
      </c>
      <c r="S3" s="611" t="s">
        <v>48</v>
      </c>
      <c r="T3" s="874">
        <v>44551</v>
      </c>
      <c r="U3" s="718"/>
      <c r="V3" s="642">
        <f t="shared" si="4"/>
        <v>7</v>
      </c>
    </row>
    <row r="4" spans="1:22" ht="15.75" thickBot="1" x14ac:dyDescent="0.3">
      <c r="A4" s="651">
        <v>44564</v>
      </c>
      <c r="B4" s="657" t="str">
        <f t="shared" si="0"/>
        <v>Po</v>
      </c>
      <c r="C4" s="748">
        <f t="shared" si="1"/>
        <v>0</v>
      </c>
      <c r="D4" s="837">
        <f t="shared" si="2"/>
        <v>0</v>
      </c>
      <c r="E4" s="723"/>
      <c r="F4" s="726"/>
      <c r="G4" s="1029"/>
      <c r="H4" s="1026"/>
      <c r="I4" s="657"/>
      <c r="J4" s="654"/>
      <c r="K4" s="657"/>
      <c r="L4" s="654"/>
      <c r="M4" s="657"/>
      <c r="N4" s="714"/>
      <c r="O4" s="835">
        <f>O40*24</f>
        <v>-1.5</v>
      </c>
      <c r="P4" s="717">
        <v>0</v>
      </c>
      <c r="Q4" s="738">
        <v>0</v>
      </c>
      <c r="R4" s="611" t="s">
        <v>17</v>
      </c>
      <c r="S4" s="611" t="s">
        <v>210</v>
      </c>
      <c r="T4" s="646"/>
      <c r="U4" s="718"/>
      <c r="V4" s="642">
        <f t="shared" si="4"/>
        <v>1</v>
      </c>
    </row>
    <row r="5" spans="1:22" ht="15.75" thickBot="1" x14ac:dyDescent="0.3">
      <c r="A5" s="651">
        <v>44565</v>
      </c>
      <c r="B5" s="657" t="str">
        <f t="shared" si="0"/>
        <v>Út</v>
      </c>
      <c r="C5" s="748">
        <f t="shared" si="1"/>
        <v>0</v>
      </c>
      <c r="D5" s="837">
        <f t="shared" si="2"/>
        <v>0</v>
      </c>
      <c r="E5" s="723"/>
      <c r="F5" s="726"/>
      <c r="G5" s="1029"/>
      <c r="H5" s="1026"/>
      <c r="I5" s="657"/>
      <c r="J5" s="654"/>
      <c r="K5" s="657"/>
      <c r="L5" s="654"/>
      <c r="M5" s="657"/>
      <c r="N5" s="714"/>
      <c r="O5" s="711" t="s">
        <v>14</v>
      </c>
      <c r="P5" s="717" t="s">
        <v>14</v>
      </c>
      <c r="Q5" s="738">
        <v>0</v>
      </c>
      <c r="R5" s="611" t="s">
        <v>17</v>
      </c>
      <c r="S5" s="611" t="s">
        <v>312</v>
      </c>
      <c r="T5" s="646" t="s">
        <v>453</v>
      </c>
      <c r="U5" s="718"/>
      <c r="V5" s="642">
        <f t="shared" si="4"/>
        <v>2</v>
      </c>
    </row>
    <row r="6" spans="1:22" ht="15.75" thickBot="1" x14ac:dyDescent="0.3">
      <c r="A6" s="651">
        <v>44566</v>
      </c>
      <c r="B6" s="657" t="str">
        <f t="shared" si="0"/>
        <v>St</v>
      </c>
      <c r="C6" s="748">
        <f t="shared" si="1"/>
        <v>0</v>
      </c>
      <c r="D6" s="837">
        <f t="shared" si="2"/>
        <v>0</v>
      </c>
      <c r="E6" s="724"/>
      <c r="F6" s="726"/>
      <c r="G6" s="1029"/>
      <c r="H6" s="1026"/>
      <c r="I6" s="657"/>
      <c r="J6" s="654"/>
      <c r="K6" s="657"/>
      <c r="L6" s="654"/>
      <c r="M6" s="657"/>
      <c r="N6" s="714"/>
      <c r="O6" s="835">
        <f>O41*24</f>
        <v>0</v>
      </c>
      <c r="P6" s="717">
        <v>0</v>
      </c>
      <c r="Q6" s="712" t="s">
        <v>228</v>
      </c>
      <c r="R6" s="647"/>
      <c r="S6" s="647" t="s">
        <v>48</v>
      </c>
      <c r="T6" s="648"/>
      <c r="U6" s="718"/>
      <c r="V6" s="642">
        <f t="shared" si="4"/>
        <v>3</v>
      </c>
    </row>
    <row r="7" spans="1:22" ht="15.75" thickBot="1" x14ac:dyDescent="0.3">
      <c r="A7" s="651">
        <v>44567</v>
      </c>
      <c r="B7" s="657" t="str">
        <f t="shared" si="0"/>
        <v>Čt</v>
      </c>
      <c r="C7" s="748">
        <f t="shared" si="1"/>
        <v>0</v>
      </c>
      <c r="D7" s="837">
        <f t="shared" si="2"/>
        <v>0</v>
      </c>
      <c r="E7" s="723"/>
      <c r="F7" s="726"/>
      <c r="G7" s="1029"/>
      <c r="H7" s="1026"/>
      <c r="I7" s="657"/>
      <c r="J7" s="654"/>
      <c r="K7" s="657"/>
      <c r="L7" s="654"/>
      <c r="M7" s="657"/>
      <c r="N7" s="714"/>
      <c r="O7" s="711" t="s">
        <v>20</v>
      </c>
      <c r="P7" s="646" t="s">
        <v>20</v>
      </c>
      <c r="Q7" s="721">
        <f>Q3+Q4</f>
        <v>115461</v>
      </c>
      <c r="R7" s="718"/>
      <c r="S7" s="718"/>
      <c r="T7" s="718"/>
      <c r="U7" s="718"/>
      <c r="V7" s="642">
        <f t="shared" si="4"/>
        <v>4</v>
      </c>
    </row>
    <row r="8" spans="1:22" ht="15.75" thickBot="1" x14ac:dyDescent="0.3">
      <c r="A8" s="651">
        <v>44568</v>
      </c>
      <c r="B8" s="657" t="str">
        <f t="shared" si="0"/>
        <v>Pá</v>
      </c>
      <c r="C8" s="748">
        <f t="shared" si="1"/>
        <v>0</v>
      </c>
      <c r="D8" s="837">
        <f t="shared" si="2"/>
        <v>0</v>
      </c>
      <c r="E8" s="723"/>
      <c r="F8" s="726"/>
      <c r="G8" s="1029"/>
      <c r="H8" s="1026"/>
      <c r="I8" s="657"/>
      <c r="J8" s="654"/>
      <c r="K8" s="657"/>
      <c r="L8" s="654"/>
      <c r="M8" s="657"/>
      <c r="N8" s="714"/>
      <c r="O8" s="711" t="s">
        <v>22</v>
      </c>
      <c r="P8" s="646" t="s">
        <v>22</v>
      </c>
      <c r="Q8" s="657" t="s">
        <v>229</v>
      </c>
      <c r="R8" s="718"/>
      <c r="S8" s="718"/>
      <c r="T8" s="718"/>
      <c r="U8" s="718"/>
      <c r="V8" s="642">
        <f t="shared" si="4"/>
        <v>5</v>
      </c>
    </row>
    <row r="9" spans="1:22" ht="15.75" thickBot="1" x14ac:dyDescent="0.3">
      <c r="A9" s="651">
        <v>44569</v>
      </c>
      <c r="B9" s="657" t="str">
        <f t="shared" si="0"/>
        <v>So</v>
      </c>
      <c r="C9" s="748">
        <f t="shared" si="1"/>
        <v>0</v>
      </c>
      <c r="D9" s="837">
        <f t="shared" si="2"/>
        <v>0</v>
      </c>
      <c r="E9" s="723"/>
      <c r="F9" s="726"/>
      <c r="G9" s="1029"/>
      <c r="H9" s="1026"/>
      <c r="I9" s="657"/>
      <c r="J9" s="654"/>
      <c r="K9" s="657"/>
      <c r="L9" s="654"/>
      <c r="M9" s="657"/>
      <c r="N9" s="714"/>
      <c r="O9" s="711" t="s">
        <v>23</v>
      </c>
      <c r="P9" s="646" t="s">
        <v>23</v>
      </c>
      <c r="Q9" s="657">
        <f>SUM(Q2:Q4)</f>
        <v>162352</v>
      </c>
      <c r="R9" s="718"/>
      <c r="S9" s="718"/>
      <c r="T9" s="718"/>
      <c r="U9" s="718"/>
      <c r="V9" s="642">
        <f t="shared" si="4"/>
        <v>6</v>
      </c>
    </row>
    <row r="10" spans="1:22" ht="15.75" thickBot="1" x14ac:dyDescent="0.3">
      <c r="A10" s="651">
        <v>44570</v>
      </c>
      <c r="B10" s="657" t="str">
        <f t="shared" si="0"/>
        <v>Ne</v>
      </c>
      <c r="C10" s="748">
        <f t="shared" si="1"/>
        <v>0</v>
      </c>
      <c r="D10" s="837">
        <f t="shared" si="2"/>
        <v>0</v>
      </c>
      <c r="E10" s="723"/>
      <c r="F10" s="726"/>
      <c r="G10" s="1029"/>
      <c r="H10" s="1026"/>
      <c r="I10" s="657"/>
      <c r="J10" s="654"/>
      <c r="K10" s="657"/>
      <c r="L10" s="654"/>
      <c r="M10" s="657"/>
      <c r="N10" s="714"/>
      <c r="O10" s="738">
        <f>(O2*380)+U2</f>
        <v>-570</v>
      </c>
      <c r="P10" s="747">
        <f>SUM(P2*380)</f>
        <v>0</v>
      </c>
      <c r="Q10" s="719"/>
      <c r="R10" s="718"/>
      <c r="S10" s="718"/>
      <c r="T10" s="718"/>
      <c r="U10" s="718"/>
      <c r="V10" s="642">
        <f t="shared" si="4"/>
        <v>7</v>
      </c>
    </row>
    <row r="11" spans="1:22" ht="15.75" thickBot="1" x14ac:dyDescent="0.3">
      <c r="A11" s="651">
        <v>44571</v>
      </c>
      <c r="B11" s="657" t="str">
        <f t="shared" si="0"/>
        <v>Po</v>
      </c>
      <c r="C11" s="748">
        <f t="shared" si="1"/>
        <v>0</v>
      </c>
      <c r="D11" s="837">
        <f t="shared" si="2"/>
        <v>0</v>
      </c>
      <c r="E11" s="723"/>
      <c r="F11" s="726"/>
      <c r="G11" s="1029"/>
      <c r="H11" s="1026"/>
      <c r="I11" s="657"/>
      <c r="J11" s="654"/>
      <c r="K11" s="657"/>
      <c r="L11" s="654"/>
      <c r="M11" s="657"/>
      <c r="N11" s="714"/>
      <c r="O11" s="711" t="s">
        <v>361</v>
      </c>
      <c r="P11" s="646" t="s">
        <v>361</v>
      </c>
      <c r="Q11" s="718"/>
      <c r="R11" s="718"/>
      <c r="S11" s="718"/>
      <c r="T11" s="718"/>
      <c r="U11" s="718"/>
      <c r="V11" s="642">
        <f t="shared" si="4"/>
        <v>1</v>
      </c>
    </row>
    <row r="12" spans="1:22" ht="15.75" thickBot="1" x14ac:dyDescent="0.3">
      <c r="A12" s="651">
        <v>44572</v>
      </c>
      <c r="B12" s="657" t="str">
        <f t="shared" si="0"/>
        <v>Út</v>
      </c>
      <c r="C12" s="748">
        <f>G12-E12</f>
        <v>0</v>
      </c>
      <c r="D12" s="837">
        <f t="shared" si="2"/>
        <v>0</v>
      </c>
      <c r="E12" s="724"/>
      <c r="F12" s="726"/>
      <c r="G12" s="1029"/>
      <c r="H12" s="1026"/>
      <c r="I12" s="657"/>
      <c r="J12" s="654"/>
      <c r="K12" s="657"/>
      <c r="L12" s="654"/>
      <c r="M12" s="657"/>
      <c r="N12" s="714"/>
      <c r="O12" s="738" t="e">
        <f>(O10+O20+O18-O22)-O14-P24</f>
        <v>#VALUE!</v>
      </c>
      <c r="P12" s="747" t="e">
        <f>(P10+P18+P20-P22)-P14-P24</f>
        <v>#VALUE!</v>
      </c>
      <c r="Q12" s="718"/>
      <c r="R12" s="718"/>
      <c r="S12" s="718"/>
      <c r="T12" s="718"/>
      <c r="U12" s="718"/>
      <c r="V12" s="642">
        <f t="shared" si="4"/>
        <v>2</v>
      </c>
    </row>
    <row r="13" spans="1:22" ht="15.75" thickBot="1" x14ac:dyDescent="0.3">
      <c r="A13" s="651">
        <v>44573</v>
      </c>
      <c r="B13" s="657" t="str">
        <f t="shared" si="0"/>
        <v>St</v>
      </c>
      <c r="C13" s="748">
        <f t="shared" si="1"/>
        <v>0</v>
      </c>
      <c r="D13" s="837">
        <f t="shared" si="2"/>
        <v>0</v>
      </c>
      <c r="E13" s="724"/>
      <c r="F13" s="726"/>
      <c r="G13" s="1029"/>
      <c r="H13" s="1026"/>
      <c r="I13" s="657"/>
      <c r="J13" s="654"/>
      <c r="K13" s="657"/>
      <c r="L13" s="654"/>
      <c r="M13" s="657"/>
      <c r="N13" s="714"/>
      <c r="O13" s="711" t="s">
        <v>26</v>
      </c>
      <c r="P13" s="747" t="s">
        <v>26</v>
      </c>
      <c r="Q13" s="718"/>
      <c r="R13" s="718"/>
      <c r="S13" s="718"/>
      <c r="T13" s="718"/>
      <c r="U13" s="718"/>
      <c r="V13" s="642">
        <f t="shared" si="4"/>
        <v>3</v>
      </c>
    </row>
    <row r="14" spans="1:22" ht="15.75" thickBot="1" x14ac:dyDescent="0.3">
      <c r="A14" s="651">
        <v>44574</v>
      </c>
      <c r="B14" s="657" t="str">
        <f t="shared" si="0"/>
        <v>Čt</v>
      </c>
      <c r="C14" s="748">
        <f t="shared" si="1"/>
        <v>0</v>
      </c>
      <c r="D14" s="837">
        <f t="shared" si="2"/>
        <v>0</v>
      </c>
      <c r="E14" s="723"/>
      <c r="F14" s="726"/>
      <c r="G14" s="1029"/>
      <c r="H14" s="1026"/>
      <c r="I14" s="657"/>
      <c r="J14" s="654"/>
      <c r="K14" s="657"/>
      <c r="L14" s="654"/>
      <c r="M14" s="657"/>
      <c r="N14" s="714"/>
      <c r="O14" s="738">
        <f>(O16*25.53)</f>
        <v>14960.58</v>
      </c>
      <c r="P14" s="747">
        <f>(P16*25.53)</f>
        <v>0</v>
      </c>
      <c r="Q14" s="923" t="s">
        <v>458</v>
      </c>
      <c r="R14" s="1004">
        <f>P14+P22-P18</f>
        <v>0</v>
      </c>
      <c r="S14" s="1007"/>
      <c r="T14" s="923" t="s">
        <v>462</v>
      </c>
      <c r="U14" s="1004">
        <f>P14+P22</f>
        <v>0</v>
      </c>
      <c r="V14" s="642">
        <f t="shared" si="4"/>
        <v>4</v>
      </c>
    </row>
    <row r="15" spans="1:22" ht="15.75" thickBot="1" x14ac:dyDescent="0.3">
      <c r="A15" s="651">
        <v>44575</v>
      </c>
      <c r="B15" s="657" t="str">
        <f t="shared" si="0"/>
        <v>Pá</v>
      </c>
      <c r="C15" s="748">
        <f t="shared" si="1"/>
        <v>0</v>
      </c>
      <c r="D15" s="837">
        <f t="shared" si="2"/>
        <v>0</v>
      </c>
      <c r="E15" s="723"/>
      <c r="F15" s="726"/>
      <c r="G15" s="1029"/>
      <c r="H15" s="1026"/>
      <c r="I15" s="657"/>
      <c r="J15" s="654"/>
      <c r="K15" s="657"/>
      <c r="L15" s="654"/>
      <c r="M15" s="657"/>
      <c r="N15" s="714"/>
      <c r="O15" s="711" t="s">
        <v>29</v>
      </c>
      <c r="P15" s="646" t="s">
        <v>29</v>
      </c>
      <c r="Q15" s="1001" t="s">
        <v>459</v>
      </c>
      <c r="R15" s="1002">
        <f>P10</f>
        <v>0</v>
      </c>
      <c r="S15" s="1008"/>
      <c r="T15" s="1001" t="s">
        <v>463</v>
      </c>
      <c r="U15" s="1002">
        <f>P10+P18+P20</f>
        <v>0</v>
      </c>
      <c r="V15" s="642">
        <f t="shared" si="4"/>
        <v>5</v>
      </c>
    </row>
    <row r="16" spans="1:22" ht="15.75" thickBot="1" x14ac:dyDescent="0.3">
      <c r="A16" s="651">
        <v>44576</v>
      </c>
      <c r="B16" s="657" t="str">
        <f t="shared" si="0"/>
        <v>So</v>
      </c>
      <c r="C16" s="748">
        <f t="shared" si="1"/>
        <v>0</v>
      </c>
      <c r="D16" s="837">
        <f t="shared" si="2"/>
        <v>0</v>
      </c>
      <c r="E16" s="723"/>
      <c r="F16" s="726"/>
      <c r="G16" s="1029"/>
      <c r="H16" s="1026"/>
      <c r="I16" s="657"/>
      <c r="J16" s="654"/>
      <c r="K16" s="657"/>
      <c r="L16" s="654"/>
      <c r="M16" s="657"/>
      <c r="N16" s="714"/>
      <c r="O16" s="893">
        <f>'07cash21'!O37</f>
        <v>586</v>
      </c>
      <c r="P16" s="894">
        <v>0</v>
      </c>
      <c r="Q16" s="1001"/>
      <c r="R16" s="1003">
        <f>R15-R14</f>
        <v>0</v>
      </c>
      <c r="S16" s="1008"/>
      <c r="T16" s="1001"/>
      <c r="U16" s="1002">
        <f>U15-U14</f>
        <v>0</v>
      </c>
      <c r="V16" s="642">
        <f t="shared" si="4"/>
        <v>6</v>
      </c>
    </row>
    <row r="17" spans="1:22" ht="15.75" thickBot="1" x14ac:dyDescent="0.3">
      <c r="A17" s="651">
        <v>44577</v>
      </c>
      <c r="B17" s="657" t="str">
        <f t="shared" si="0"/>
        <v>Ne</v>
      </c>
      <c r="C17" s="748">
        <f t="shared" si="1"/>
        <v>0</v>
      </c>
      <c r="D17" s="837">
        <f t="shared" si="2"/>
        <v>0</v>
      </c>
      <c r="E17" s="723"/>
      <c r="F17" s="726"/>
      <c r="G17" s="1029"/>
      <c r="H17" s="1026"/>
      <c r="I17" s="657"/>
      <c r="J17" s="654"/>
      <c r="K17" s="657"/>
      <c r="L17" s="654"/>
      <c r="M17" s="657"/>
      <c r="N17" s="714"/>
      <c r="O17" s="711" t="s">
        <v>31</v>
      </c>
      <c r="P17" s="646" t="s">
        <v>31</v>
      </c>
      <c r="Q17" s="1002">
        <f>R16-Q5</f>
        <v>0</v>
      </c>
      <c r="R17" s="1001"/>
      <c r="S17" s="1009"/>
      <c r="T17" s="1002">
        <f>U16-Q5</f>
        <v>0</v>
      </c>
      <c r="U17" s="1001"/>
      <c r="V17" s="642">
        <f t="shared" si="4"/>
        <v>7</v>
      </c>
    </row>
    <row r="18" spans="1:22" ht="15.75" thickBot="1" x14ac:dyDescent="0.3">
      <c r="A18" s="651">
        <v>44578</v>
      </c>
      <c r="B18" s="657" t="str">
        <f t="shared" si="0"/>
        <v>Po</v>
      </c>
      <c r="C18" s="748">
        <f t="shared" si="1"/>
        <v>0</v>
      </c>
      <c r="D18" s="837">
        <f t="shared" si="2"/>
        <v>0</v>
      </c>
      <c r="E18" s="723"/>
      <c r="F18" s="726"/>
      <c r="G18" s="1029"/>
      <c r="H18" s="1026"/>
      <c r="I18" s="657"/>
      <c r="J18" s="654"/>
      <c r="K18" s="657"/>
      <c r="L18" s="654"/>
      <c r="M18" s="657"/>
      <c r="N18" s="714"/>
      <c r="O18" s="738"/>
      <c r="P18" s="747"/>
      <c r="Q18" s="1001"/>
      <c r="R18" s="1001"/>
      <c r="S18" s="1008"/>
      <c r="T18" s="1001"/>
      <c r="U18" s="1001"/>
      <c r="V18" s="642">
        <f t="shared" si="4"/>
        <v>1</v>
      </c>
    </row>
    <row r="19" spans="1:22" ht="15.75" thickBot="1" x14ac:dyDescent="0.3">
      <c r="A19" s="651">
        <v>44579</v>
      </c>
      <c r="B19" s="657" t="str">
        <f t="shared" si="0"/>
        <v>Út</v>
      </c>
      <c r="C19" s="748">
        <f t="shared" si="1"/>
        <v>0</v>
      </c>
      <c r="D19" s="837">
        <f t="shared" si="2"/>
        <v>0</v>
      </c>
      <c r="E19" s="723"/>
      <c r="F19" s="726"/>
      <c r="G19" s="1029"/>
      <c r="H19" s="1026"/>
      <c r="I19" s="657"/>
      <c r="J19" s="654"/>
      <c r="K19" s="657"/>
      <c r="L19" s="654"/>
      <c r="M19" s="657"/>
      <c r="N19" s="714"/>
      <c r="O19" s="738" t="s">
        <v>33</v>
      </c>
      <c r="P19" s="747" t="s">
        <v>33</v>
      </c>
      <c r="Q19" s="1001"/>
      <c r="R19" s="1001"/>
      <c r="S19" s="1008"/>
      <c r="T19" s="1001"/>
      <c r="U19" s="1001"/>
      <c r="V19" s="642">
        <f t="shared" si="4"/>
        <v>2</v>
      </c>
    </row>
    <row r="20" spans="1:22" ht="15.75" thickBot="1" x14ac:dyDescent="0.3">
      <c r="A20" s="651">
        <v>44580</v>
      </c>
      <c r="B20" s="657" t="str">
        <f t="shared" si="0"/>
        <v>St</v>
      </c>
      <c r="C20" s="748">
        <f t="shared" si="1"/>
        <v>0</v>
      </c>
      <c r="D20" s="837">
        <f t="shared" si="2"/>
        <v>0</v>
      </c>
      <c r="E20" s="724"/>
      <c r="F20" s="726"/>
      <c r="G20" s="1029"/>
      <c r="H20" s="1026"/>
      <c r="I20" s="657"/>
      <c r="J20" s="654"/>
      <c r="K20" s="657"/>
      <c r="L20" s="654"/>
      <c r="M20" s="657"/>
      <c r="N20" s="714"/>
      <c r="O20" s="738">
        <v>0</v>
      </c>
      <c r="P20" s="747">
        <v>0</v>
      </c>
      <c r="Q20" s="1001"/>
      <c r="R20" s="1001"/>
      <c r="S20" s="1008"/>
      <c r="T20" s="1001"/>
      <c r="U20" s="1001"/>
      <c r="V20" s="642">
        <f t="shared" si="4"/>
        <v>3</v>
      </c>
    </row>
    <row r="21" spans="1:22" ht="15.75" thickBot="1" x14ac:dyDescent="0.3">
      <c r="A21" s="651">
        <v>44581</v>
      </c>
      <c r="B21" s="657" t="str">
        <f t="shared" si="0"/>
        <v>Čt</v>
      </c>
      <c r="C21" s="748">
        <f t="shared" si="1"/>
        <v>0</v>
      </c>
      <c r="D21" s="837">
        <f t="shared" si="2"/>
        <v>0</v>
      </c>
      <c r="E21" s="724"/>
      <c r="F21" s="726"/>
      <c r="G21" s="1029"/>
      <c r="H21" s="1026"/>
      <c r="I21" s="657"/>
      <c r="J21" s="654"/>
      <c r="K21" s="657"/>
      <c r="L21" s="654"/>
      <c r="M21" s="657"/>
      <c r="N21" s="714"/>
      <c r="O21" s="738" t="s">
        <v>34</v>
      </c>
      <c r="P21" s="747" t="s">
        <v>34</v>
      </c>
      <c r="Q21" s="1001"/>
      <c r="R21" s="1001"/>
      <c r="S21" s="1008"/>
      <c r="T21" s="1001"/>
      <c r="U21" s="1001"/>
      <c r="V21" s="642">
        <f t="shared" si="4"/>
        <v>4</v>
      </c>
    </row>
    <row r="22" spans="1:22" ht="15.75" thickBot="1" x14ac:dyDescent="0.3">
      <c r="A22" s="651">
        <v>44582</v>
      </c>
      <c r="B22" s="657" t="str">
        <f t="shared" si="0"/>
        <v>Pá</v>
      </c>
      <c r="C22" s="748">
        <f t="shared" si="1"/>
        <v>0</v>
      </c>
      <c r="D22" s="837">
        <f t="shared" si="2"/>
        <v>0</v>
      </c>
      <c r="E22" s="724"/>
      <c r="F22" s="726"/>
      <c r="G22" s="1029"/>
      <c r="H22" s="1026"/>
      <c r="I22" s="657"/>
      <c r="J22" s="654"/>
      <c r="K22" s="657"/>
      <c r="L22" s="654"/>
      <c r="M22" s="657"/>
      <c r="N22" s="714"/>
      <c r="O22" s="738">
        <v>0</v>
      </c>
      <c r="P22" s="747">
        <v>0</v>
      </c>
      <c r="Q22" s="1001"/>
      <c r="R22" s="1017"/>
      <c r="S22" s="718"/>
      <c r="T22" s="1001"/>
      <c r="U22" s="1001"/>
      <c r="V22" s="642">
        <f t="shared" si="4"/>
        <v>5</v>
      </c>
    </row>
    <row r="23" spans="1:22" ht="15.75" thickBot="1" x14ac:dyDescent="0.3">
      <c r="A23" s="651">
        <v>44583</v>
      </c>
      <c r="B23" s="657" t="str">
        <f t="shared" si="0"/>
        <v>So</v>
      </c>
      <c r="C23" s="748">
        <f t="shared" si="1"/>
        <v>0</v>
      </c>
      <c r="D23" s="837">
        <f t="shared" si="2"/>
        <v>0</v>
      </c>
      <c r="E23" s="724"/>
      <c r="F23" s="726"/>
      <c r="G23" s="1029"/>
      <c r="H23" s="1026"/>
      <c r="I23" s="657"/>
      <c r="J23" s="654"/>
      <c r="K23" s="657"/>
      <c r="L23" s="654"/>
      <c r="M23" s="657"/>
      <c r="N23" s="714"/>
      <c r="O23" s="897" t="s">
        <v>364</v>
      </c>
      <c r="P23" s="895" t="s">
        <v>363</v>
      </c>
      <c r="Q23" s="1015" t="e">
        <f>Q17-P24</f>
        <v>#VALUE!</v>
      </c>
      <c r="R23" s="1018"/>
      <c r="S23" s="1015" t="e">
        <f>T17-P24</f>
        <v>#VALUE!</v>
      </c>
      <c r="T23" s="1001"/>
      <c r="U23" s="1001"/>
      <c r="V23" s="642">
        <f t="shared" si="4"/>
        <v>6</v>
      </c>
    </row>
    <row r="24" spans="1:22" ht="15.75" thickBot="1" x14ac:dyDescent="0.3">
      <c r="A24" s="651">
        <v>44584</v>
      </c>
      <c r="B24" s="657" t="str">
        <f t="shared" si="0"/>
        <v>Ne</v>
      </c>
      <c r="C24" s="748">
        <f t="shared" si="1"/>
        <v>0</v>
      </c>
      <c r="D24" s="837">
        <f t="shared" si="2"/>
        <v>0</v>
      </c>
      <c r="E24" s="724"/>
      <c r="F24" s="726"/>
      <c r="G24" s="1029"/>
      <c r="H24" s="1026"/>
      <c r="I24" s="657"/>
      <c r="J24" s="654"/>
      <c r="K24" s="657"/>
      <c r="L24" s="654"/>
      <c r="M24" s="657"/>
      <c r="N24" s="714"/>
      <c r="O24" s="898" t="e">
        <f>P12-Q5</f>
        <v>#VALUE!</v>
      </c>
      <c r="P24" s="747" t="e">
        <f>O26-O28</f>
        <v>#VALUE!</v>
      </c>
      <c r="Q24" s="1020"/>
      <c r="R24" s="1019"/>
      <c r="S24" s="1006"/>
      <c r="T24" s="1006"/>
      <c r="U24" s="1006"/>
      <c r="V24" s="642">
        <f t="shared" si="4"/>
        <v>7</v>
      </c>
    </row>
    <row r="25" spans="1:22" ht="15.75" thickBot="1" x14ac:dyDescent="0.3">
      <c r="A25" s="651">
        <v>44585</v>
      </c>
      <c r="B25" s="657" t="str">
        <f t="shared" si="0"/>
        <v>Po</v>
      </c>
      <c r="C25" s="748">
        <f t="shared" si="1"/>
        <v>0</v>
      </c>
      <c r="D25" s="837">
        <f t="shared" si="2"/>
        <v>0</v>
      </c>
      <c r="E25" s="724"/>
      <c r="F25" s="726"/>
      <c r="G25" s="1029"/>
      <c r="H25" s="1026"/>
      <c r="I25" s="657"/>
      <c r="J25" s="654"/>
      <c r="K25" s="657"/>
      <c r="L25" s="654"/>
      <c r="M25" s="657"/>
      <c r="N25" s="714"/>
      <c r="O25" s="711" t="s">
        <v>372</v>
      </c>
      <c r="P25" s="646"/>
      <c r="Q25" s="718"/>
      <c r="R25" s="718"/>
      <c r="S25" s="718"/>
      <c r="T25" s="718"/>
      <c r="U25" s="718"/>
      <c r="V25" s="642">
        <f t="shared" si="4"/>
        <v>1</v>
      </c>
    </row>
    <row r="26" spans="1:22" ht="15.75" thickBot="1" x14ac:dyDescent="0.3">
      <c r="A26" s="651">
        <v>44586</v>
      </c>
      <c r="B26" s="657" t="str">
        <f t="shared" si="0"/>
        <v>Út</v>
      </c>
      <c r="C26" s="748">
        <f t="shared" si="1"/>
        <v>0</v>
      </c>
      <c r="D26" s="837">
        <f t="shared" si="2"/>
        <v>0</v>
      </c>
      <c r="E26" s="724"/>
      <c r="F26" s="726"/>
      <c r="G26" s="1029"/>
      <c r="H26" s="1026"/>
      <c r="I26" s="657"/>
      <c r="J26" s="654"/>
      <c r="K26" s="657"/>
      <c r="L26" s="654"/>
      <c r="M26" s="657"/>
      <c r="N26" s="714"/>
      <c r="O26" s="738" t="s">
        <v>461</v>
      </c>
      <c r="P26" s="747"/>
      <c r="Q26" s="718"/>
      <c r="R26" s="718"/>
      <c r="S26" s="718"/>
      <c r="T26" s="718"/>
      <c r="U26" s="718"/>
      <c r="V26" s="642">
        <f t="shared" si="4"/>
        <v>2</v>
      </c>
    </row>
    <row r="27" spans="1:22" ht="15.75" thickBot="1" x14ac:dyDescent="0.3">
      <c r="A27" s="651">
        <v>44587</v>
      </c>
      <c r="B27" s="657" t="str">
        <f t="shared" si="0"/>
        <v>St</v>
      </c>
      <c r="C27" s="748">
        <f t="shared" si="1"/>
        <v>0</v>
      </c>
      <c r="D27" s="837">
        <f t="shared" si="2"/>
        <v>0</v>
      </c>
      <c r="E27" s="724"/>
      <c r="F27" s="726"/>
      <c r="G27" s="1029"/>
      <c r="H27" s="1026"/>
      <c r="I27" s="657"/>
      <c r="J27" s="654"/>
      <c r="K27" s="657"/>
      <c r="L27" s="654"/>
      <c r="M27" s="657"/>
      <c r="N27" s="714"/>
      <c r="O27" s="711" t="s">
        <v>373</v>
      </c>
      <c r="P27" s="646"/>
      <c r="Q27" s="718"/>
      <c r="R27" s="718"/>
      <c r="S27" s="718"/>
      <c r="T27" s="718"/>
      <c r="U27" s="718"/>
      <c r="V27" s="642">
        <f t="shared" si="4"/>
        <v>3</v>
      </c>
    </row>
    <row r="28" spans="1:22" ht="15.75" thickBot="1" x14ac:dyDescent="0.3">
      <c r="A28" s="651">
        <v>44588</v>
      </c>
      <c r="B28" s="657" t="str">
        <f t="shared" si="0"/>
        <v>Čt</v>
      </c>
      <c r="C28" s="748">
        <f t="shared" si="1"/>
        <v>0</v>
      </c>
      <c r="D28" s="837">
        <f t="shared" si="2"/>
        <v>0</v>
      </c>
      <c r="E28" s="724"/>
      <c r="F28" s="726"/>
      <c r="G28" s="1029"/>
      <c r="H28" s="1026"/>
      <c r="I28" s="657"/>
      <c r="J28" s="654"/>
      <c r="K28" s="657"/>
      <c r="L28" s="654"/>
      <c r="M28" s="657"/>
      <c r="N28" s="714"/>
      <c r="O28" s="738">
        <f>'11hod21'!O26</f>
        <v>115461</v>
      </c>
      <c r="P28" s="646"/>
      <c r="Q28" s="718"/>
      <c r="R28" s="718"/>
      <c r="S28" s="718"/>
      <c r="T28" s="718"/>
      <c r="U28" s="718"/>
      <c r="V28" s="642">
        <f t="shared" si="4"/>
        <v>4</v>
      </c>
    </row>
    <row r="29" spans="1:22" ht="15.75" thickBot="1" x14ac:dyDescent="0.3">
      <c r="A29" s="651">
        <v>44589</v>
      </c>
      <c r="B29" s="657" t="str">
        <f t="shared" si="0"/>
        <v>Pá</v>
      </c>
      <c r="C29" s="748">
        <f t="shared" si="1"/>
        <v>0</v>
      </c>
      <c r="D29" s="837">
        <f t="shared" si="2"/>
        <v>0</v>
      </c>
      <c r="E29" s="724"/>
      <c r="F29" s="726"/>
      <c r="G29" s="1029"/>
      <c r="H29" s="1026"/>
      <c r="I29" s="657"/>
      <c r="J29" s="654"/>
      <c r="K29" s="657"/>
      <c r="L29" s="654"/>
      <c r="M29" s="657"/>
      <c r="N29" s="714"/>
      <c r="O29" s="712"/>
      <c r="P29" s="648"/>
      <c r="Q29" s="718"/>
      <c r="R29" s="718"/>
      <c r="S29" s="718"/>
      <c r="T29" s="718"/>
      <c r="U29" s="718"/>
      <c r="V29" s="642">
        <f t="shared" si="4"/>
        <v>5</v>
      </c>
    </row>
    <row r="30" spans="1:22" ht="15.75" thickBot="1" x14ac:dyDescent="0.3">
      <c r="A30" s="651">
        <v>44590</v>
      </c>
      <c r="B30" s="657" t="str">
        <f t="shared" si="0"/>
        <v>So</v>
      </c>
      <c r="C30" s="748">
        <f t="shared" si="1"/>
        <v>0</v>
      </c>
      <c r="D30" s="837">
        <f t="shared" si="2"/>
        <v>0</v>
      </c>
      <c r="E30" s="724"/>
      <c r="F30" s="726"/>
      <c r="G30" s="1029"/>
      <c r="H30" s="1026"/>
      <c r="I30" s="657"/>
      <c r="J30" s="654"/>
      <c r="K30" s="657"/>
      <c r="L30" s="654"/>
      <c r="M30" s="657"/>
      <c r="N30" s="714"/>
      <c r="O30" s="715"/>
      <c r="P30" s="720"/>
      <c r="Q30" s="718"/>
      <c r="R30" s="718"/>
      <c r="S30" s="718"/>
      <c r="T30" s="718"/>
      <c r="U30" s="718"/>
      <c r="V30" s="642">
        <f t="shared" si="4"/>
        <v>6</v>
      </c>
    </row>
    <row r="31" spans="1:22" ht="15.75" thickBot="1" x14ac:dyDescent="0.3">
      <c r="A31" s="651">
        <v>44591</v>
      </c>
      <c r="B31" s="657" t="str">
        <f t="shared" si="0"/>
        <v>Ne</v>
      </c>
      <c r="C31" s="748">
        <f t="shared" si="1"/>
        <v>0</v>
      </c>
      <c r="D31" s="837">
        <f t="shared" si="2"/>
        <v>0</v>
      </c>
      <c r="E31" s="724"/>
      <c r="F31" s="726"/>
      <c r="G31" s="1029"/>
      <c r="H31" s="1026"/>
      <c r="I31" s="657"/>
      <c r="J31" s="654"/>
      <c r="K31" s="657"/>
      <c r="L31" s="654"/>
      <c r="M31" s="657"/>
      <c r="N31" s="714"/>
      <c r="O31" s="649"/>
      <c r="P31" s="646"/>
      <c r="Q31" s="718"/>
      <c r="R31" s="718"/>
      <c r="S31" s="718"/>
      <c r="T31" s="718"/>
      <c r="U31" s="718"/>
      <c r="V31" s="642">
        <f t="shared" si="4"/>
        <v>7</v>
      </c>
    </row>
    <row r="32" spans="1:22" ht="15.75" thickBot="1" x14ac:dyDescent="0.3">
      <c r="A32" s="651">
        <v>44592</v>
      </c>
      <c r="B32" s="657" t="str">
        <f t="shared" si="0"/>
        <v>Po</v>
      </c>
      <c r="C32" s="748">
        <f t="shared" si="1"/>
        <v>0</v>
      </c>
      <c r="D32" s="837">
        <f t="shared" si="2"/>
        <v>0</v>
      </c>
      <c r="E32" s="724"/>
      <c r="F32" s="726"/>
      <c r="G32" s="1029"/>
      <c r="H32" s="1026"/>
      <c r="I32" s="657"/>
      <c r="J32" s="654"/>
      <c r="K32" s="657"/>
      <c r="L32" s="654"/>
      <c r="M32" s="657"/>
      <c r="N32" s="714"/>
      <c r="O32" s="649"/>
      <c r="P32" s="646"/>
      <c r="Q32" s="718"/>
      <c r="R32" s="718"/>
      <c r="S32" s="718"/>
      <c r="T32" s="718"/>
      <c r="U32" s="718"/>
      <c r="V32" s="642">
        <f t="shared" si="4"/>
        <v>1</v>
      </c>
    </row>
    <row r="33" spans="1:22" ht="15.75" thickBot="1" x14ac:dyDescent="0.3">
      <c r="A33" s="651">
        <v>44593</v>
      </c>
      <c r="B33" s="657" t="str">
        <f t="shared" si="0"/>
        <v>Út</v>
      </c>
      <c r="C33" s="748">
        <f t="shared" si="1"/>
        <v>0</v>
      </c>
      <c r="D33" s="837">
        <f t="shared" si="2"/>
        <v>0</v>
      </c>
      <c r="E33" s="724"/>
      <c r="F33" s="726"/>
      <c r="G33" s="1029"/>
      <c r="H33" s="1026"/>
      <c r="I33" s="657"/>
      <c r="J33" s="654"/>
      <c r="K33" s="657"/>
      <c r="L33" s="654"/>
      <c r="M33" s="657"/>
      <c r="N33" s="708"/>
      <c r="O33" s="649"/>
      <c r="P33" s="646"/>
      <c r="Q33" s="718"/>
      <c r="R33" s="718"/>
      <c r="S33" s="718"/>
      <c r="T33" s="718"/>
      <c r="U33" s="718"/>
      <c r="V33" s="642">
        <f>WEEKDAY(A33,2)</f>
        <v>2</v>
      </c>
    </row>
    <row r="34" spans="1:22" ht="15.75" thickBot="1" x14ac:dyDescent="0.3">
      <c r="A34" s="651">
        <v>44594</v>
      </c>
      <c r="B34" s="657" t="str">
        <f t="shared" si="0"/>
        <v>St</v>
      </c>
      <c r="C34" s="748">
        <f t="shared" si="1"/>
        <v>0</v>
      </c>
      <c r="D34" s="837">
        <f t="shared" si="2"/>
        <v>0</v>
      </c>
      <c r="E34" s="724"/>
      <c r="F34" s="726"/>
      <c r="G34" s="1029"/>
      <c r="H34" s="1026"/>
      <c r="I34" s="657"/>
      <c r="J34" s="654"/>
      <c r="K34" s="657"/>
      <c r="L34" s="654"/>
      <c r="M34" s="657"/>
      <c r="N34" s="708"/>
      <c r="O34" s="649"/>
      <c r="P34" s="646"/>
      <c r="Q34" s="718"/>
      <c r="R34" s="718"/>
      <c r="S34" s="718"/>
      <c r="T34" s="718"/>
      <c r="U34" s="718"/>
      <c r="V34" s="642">
        <f t="shared" ref="V34:V35" si="5">WEEKDAY(A34,2)</f>
        <v>3</v>
      </c>
    </row>
    <row r="35" spans="1:22" ht="15.75" thickBot="1" x14ac:dyDescent="0.3">
      <c r="A35" s="651">
        <v>44595</v>
      </c>
      <c r="B35" s="658" t="str">
        <f t="shared" si="0"/>
        <v>Čt</v>
      </c>
      <c r="C35" s="748">
        <f t="shared" si="1"/>
        <v>0</v>
      </c>
      <c r="D35" s="838">
        <f t="shared" si="2"/>
        <v>0</v>
      </c>
      <c r="E35" s="725"/>
      <c r="F35" s="726"/>
      <c r="G35" s="1029"/>
      <c r="H35" s="1027"/>
      <c r="I35" s="658"/>
      <c r="J35" s="655"/>
      <c r="K35" s="658"/>
      <c r="L35" s="655"/>
      <c r="M35" s="658"/>
      <c r="N35" s="709"/>
      <c r="O35" s="652"/>
      <c r="P35" s="648"/>
      <c r="Q35" s="718"/>
      <c r="R35" s="718"/>
      <c r="S35" s="718"/>
      <c r="T35" s="718"/>
      <c r="U35" s="718"/>
      <c r="V35" s="642">
        <f t="shared" si="5"/>
        <v>4</v>
      </c>
    </row>
    <row r="36" spans="1:22" x14ac:dyDescent="0.25">
      <c r="A36" s="610"/>
      <c r="B36" s="610"/>
      <c r="C36" s="610"/>
      <c r="D36" s="610"/>
      <c r="E36" s="610"/>
      <c r="F36" s="610"/>
      <c r="G36" s="610"/>
      <c r="H36" s="610"/>
      <c r="I36" s="610"/>
      <c r="J36" s="610"/>
      <c r="K36" s="610"/>
      <c r="L36" s="610"/>
      <c r="M36" s="610"/>
      <c r="N36" s="610"/>
      <c r="O36" s="610"/>
      <c r="P36" s="610"/>
      <c r="Q36" s="610"/>
      <c r="R36" s="610"/>
      <c r="S36" s="610"/>
      <c r="T36" s="610"/>
      <c r="U36" s="610"/>
    </row>
    <row r="38" spans="1:22" x14ac:dyDescent="0.25">
      <c r="E38" s="731"/>
      <c r="F38" s="731"/>
      <c r="O38" s="731"/>
    </row>
    <row r="39" spans="1:22" x14ac:dyDescent="0.25">
      <c r="C39" s="733"/>
      <c r="E39" s="732"/>
      <c r="F39" s="732"/>
    </row>
    <row r="40" spans="1:22" x14ac:dyDescent="0.25">
      <c r="O40" s="732">
        <f>SUM(C2:C32)</f>
        <v>-6.25E-2</v>
      </c>
      <c r="P40" t="s">
        <v>315</v>
      </c>
    </row>
    <row r="41" spans="1:22" x14ac:dyDescent="0.25">
      <c r="O41" s="732">
        <v>0</v>
      </c>
      <c r="P41" t="s">
        <v>316</v>
      </c>
    </row>
    <row r="42" spans="1:22" x14ac:dyDescent="0.25">
      <c r="O42" s="731">
        <f>TIME(0,30,0)</f>
        <v>2.0833333333333332E-2</v>
      </c>
    </row>
    <row r="43" spans="1:22" x14ac:dyDescent="0.25">
      <c r="O43" s="737"/>
    </row>
    <row r="45" spans="1:22" x14ac:dyDescent="0.25">
      <c r="C45" s="731"/>
    </row>
  </sheetData>
  <pageMargins left="0.7" right="0.7" top="0.75" bottom="0.75" header="0.3" footer="0.3"/>
  <tableParts count="1">
    <tablePart r:id="rId1"/>
  </tableParts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31380-9BB7-BE40-9DBC-AB2B38DBF18C}">
  <dimension ref="A1:AK52"/>
  <sheetViews>
    <sheetView topLeftCell="M29" zoomScaleNormal="60" zoomScaleSheetLayoutView="100" workbookViewId="0">
      <selection activeCell="N42" sqref="N42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9.5703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9.42578125" customWidth="1"/>
    <col min="18" max="18" width="10.5703125" bestFit="1" customWidth="1"/>
    <col min="19" max="19" width="9.42578125" bestFit="1" customWidth="1"/>
    <col min="20" max="20" width="10.28515625" bestFit="1" customWidth="1"/>
    <col min="21" max="21" width="13.140625" customWidth="1"/>
    <col min="22" max="22" width="10.28515625" bestFit="1" customWidth="1"/>
    <col min="23" max="26" width="10.28515625" customWidth="1"/>
    <col min="27" max="27" width="12.7109375" customWidth="1"/>
    <col min="28" max="28" width="10.28515625" bestFit="1" customWidth="1"/>
    <col min="29" max="29" width="9.140625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449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20.25" thickTop="1" thickBot="1" x14ac:dyDescent="0.3">
      <c r="A2" s="964" t="s">
        <v>46</v>
      </c>
      <c r="B2" s="966" t="s">
        <v>47</v>
      </c>
      <c r="C2" s="965" t="s">
        <v>48</v>
      </c>
      <c r="D2" s="966" t="s">
        <v>379</v>
      </c>
      <c r="E2" s="966" t="s">
        <v>380</v>
      </c>
      <c r="F2" s="965" t="s">
        <v>49</v>
      </c>
      <c r="G2" s="966" t="s">
        <v>381</v>
      </c>
      <c r="H2" s="965" t="s">
        <v>382</v>
      </c>
      <c r="I2" s="966" t="s">
        <v>383</v>
      </c>
      <c r="J2" s="966" t="s">
        <v>384</v>
      </c>
      <c r="K2" s="965" t="s">
        <v>385</v>
      </c>
      <c r="L2" s="966" t="s">
        <v>50</v>
      </c>
      <c r="M2" s="966" t="s">
        <v>51</v>
      </c>
      <c r="N2" s="965" t="s">
        <v>52</v>
      </c>
      <c r="O2" s="966" t="s">
        <v>53</v>
      </c>
      <c r="P2" s="966" t="s">
        <v>386</v>
      </c>
      <c r="Q2" s="964" t="s">
        <v>54</v>
      </c>
      <c r="R2" s="966" t="s">
        <v>441</v>
      </c>
      <c r="S2" s="967" t="s">
        <v>55</v>
      </c>
      <c r="T2" s="966" t="s">
        <v>442</v>
      </c>
      <c r="U2" s="964" t="s">
        <v>436</v>
      </c>
      <c r="V2" s="966" t="s">
        <v>443</v>
      </c>
      <c r="W2" s="964" t="s">
        <v>321</v>
      </c>
      <c r="X2" s="966" t="s">
        <v>444</v>
      </c>
      <c r="Y2" s="964" t="s">
        <v>433</v>
      </c>
      <c r="Z2" s="966" t="s">
        <v>445</v>
      </c>
      <c r="AA2" s="964" t="s">
        <v>434</v>
      </c>
      <c r="AB2" s="966" t="s">
        <v>446</v>
      </c>
      <c r="AC2" s="964" t="s">
        <v>435</v>
      </c>
      <c r="AD2" s="966" t="s">
        <v>447</v>
      </c>
      <c r="AE2" s="964" t="s">
        <v>377</v>
      </c>
      <c r="AF2" s="966" t="s">
        <v>448</v>
      </c>
      <c r="AG2" s="965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6.5" thickTop="1" thickBot="1" x14ac:dyDescent="0.3">
      <c r="A3" s="855">
        <v>3828</v>
      </c>
      <c r="B3" s="979">
        <v>44503</v>
      </c>
      <c r="C3" s="945"/>
      <c r="D3" s="619">
        <v>159.57</v>
      </c>
      <c r="E3" s="979">
        <v>44505</v>
      </c>
      <c r="F3" s="952"/>
      <c r="G3" s="975"/>
      <c r="H3" s="952"/>
      <c r="I3" s="619"/>
      <c r="J3" s="978"/>
      <c r="K3" s="952"/>
      <c r="L3" s="959">
        <v>3952</v>
      </c>
      <c r="M3" s="981" t="s">
        <v>438</v>
      </c>
      <c r="N3" s="952"/>
      <c r="O3" s="984">
        <f t="shared" ref="O3" si="0">AG35-AK6-AI3</f>
        <v>986</v>
      </c>
      <c r="P3" s="945"/>
      <c r="Q3" s="984">
        <v>100</v>
      </c>
      <c r="R3" s="937">
        <v>44504</v>
      </c>
      <c r="S3" s="984">
        <v>100</v>
      </c>
      <c r="T3" s="937">
        <v>44505</v>
      </c>
      <c r="U3" s="984">
        <v>100</v>
      </c>
      <c r="V3" s="937">
        <v>44504</v>
      </c>
      <c r="W3" s="989">
        <v>100</v>
      </c>
      <c r="X3" s="937">
        <v>44504</v>
      </c>
      <c r="Y3" s="989">
        <v>100</v>
      </c>
      <c r="Z3" s="937">
        <v>44504</v>
      </c>
      <c r="AA3" s="984">
        <v>200</v>
      </c>
      <c r="AB3" s="937">
        <v>44524</v>
      </c>
      <c r="AC3" s="989">
        <v>100</v>
      </c>
      <c r="AD3" s="937">
        <v>44523</v>
      </c>
      <c r="AE3" s="993"/>
      <c r="AF3" s="996" t="s">
        <v>119</v>
      </c>
      <c r="AG3" s="968">
        <v>144.78</v>
      </c>
      <c r="AH3" s="299">
        <v>0</v>
      </c>
      <c r="AI3" s="300">
        <v>120</v>
      </c>
      <c r="AJ3" s="301">
        <f>AH6+AJ6</f>
        <v>17404.599999999999</v>
      </c>
      <c r="AK3" s="302">
        <f>AK6+AI6</f>
        <v>4682.58</v>
      </c>
    </row>
    <row r="4" spans="1:37" ht="19.5" thickBot="1" x14ac:dyDescent="0.3">
      <c r="A4" s="681">
        <v>2100.4</v>
      </c>
      <c r="B4" s="979">
        <v>44521</v>
      </c>
      <c r="C4" s="946"/>
      <c r="D4" s="618">
        <v>184.41</v>
      </c>
      <c r="E4" s="979">
        <v>44515</v>
      </c>
      <c r="F4" s="953"/>
      <c r="G4" s="976"/>
      <c r="H4" s="953"/>
      <c r="I4" s="618"/>
      <c r="J4" s="979"/>
      <c r="K4" s="953"/>
      <c r="L4" s="960"/>
      <c r="M4" s="982"/>
      <c r="N4" s="953"/>
      <c r="O4" s="976"/>
      <c r="P4" s="946"/>
      <c r="Q4" s="986">
        <v>100</v>
      </c>
      <c r="R4" s="938">
        <v>44508</v>
      </c>
      <c r="S4" s="986">
        <v>100</v>
      </c>
      <c r="T4" s="938">
        <v>44508</v>
      </c>
      <c r="U4" s="986">
        <v>100</v>
      </c>
      <c r="V4" s="938">
        <v>44508</v>
      </c>
      <c r="W4" s="990">
        <v>100</v>
      </c>
      <c r="X4" s="938">
        <v>44508</v>
      </c>
      <c r="Y4" s="990">
        <v>90</v>
      </c>
      <c r="Z4" s="938">
        <v>44506</v>
      </c>
      <c r="AA4" s="986">
        <v>50</v>
      </c>
      <c r="AB4" s="938">
        <v>44526</v>
      </c>
      <c r="AC4" s="990">
        <v>10</v>
      </c>
      <c r="AD4" s="938"/>
      <c r="AE4" s="994"/>
      <c r="AF4" s="997">
        <v>44504</v>
      </c>
      <c r="AG4" s="963">
        <v>500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81">
        <v>3722.1</v>
      </c>
      <c r="B5" s="979">
        <v>44548</v>
      </c>
      <c r="C5" s="946"/>
      <c r="D5" s="618">
        <v>118.01</v>
      </c>
      <c r="E5" s="979">
        <v>44518</v>
      </c>
      <c r="F5" s="953"/>
      <c r="G5" s="976"/>
      <c r="H5" s="953"/>
      <c r="I5" s="618"/>
      <c r="J5" s="979"/>
      <c r="K5" s="953"/>
      <c r="L5" s="960"/>
      <c r="M5" s="982"/>
      <c r="N5" s="953"/>
      <c r="O5" s="976"/>
      <c r="P5" s="946"/>
      <c r="Q5" s="986">
        <v>100</v>
      </c>
      <c r="R5" s="938">
        <v>44518</v>
      </c>
      <c r="S5" s="986">
        <v>100</v>
      </c>
      <c r="T5" s="938">
        <v>44523</v>
      </c>
      <c r="U5" s="986">
        <v>100</v>
      </c>
      <c r="V5" s="938">
        <v>44517</v>
      </c>
      <c r="W5" s="990">
        <v>100</v>
      </c>
      <c r="X5" s="938">
        <v>44523</v>
      </c>
      <c r="Y5" s="990">
        <v>10</v>
      </c>
      <c r="Z5" s="938">
        <v>44508</v>
      </c>
      <c r="AA5" s="986">
        <v>100</v>
      </c>
      <c r="AB5" s="938">
        <v>44532</v>
      </c>
      <c r="AC5" s="990">
        <v>100</v>
      </c>
      <c r="AD5" s="938">
        <v>44531</v>
      </c>
      <c r="AE5" s="994"/>
      <c r="AF5" s="997">
        <v>44508</v>
      </c>
      <c r="AG5" s="963">
        <v>500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81">
        <v>3802.1</v>
      </c>
      <c r="B6" s="979">
        <v>44550</v>
      </c>
      <c r="C6" s="946"/>
      <c r="D6" s="618"/>
      <c r="E6" s="979">
        <v>44523</v>
      </c>
      <c r="F6" s="953">
        <v>158.78</v>
      </c>
      <c r="G6" s="976"/>
      <c r="H6" s="953"/>
      <c r="I6" s="618"/>
      <c r="J6" s="979"/>
      <c r="K6" s="953"/>
      <c r="L6" s="960"/>
      <c r="M6" s="982"/>
      <c r="N6" s="953"/>
      <c r="O6" s="976"/>
      <c r="P6" s="946"/>
      <c r="Q6" s="986">
        <v>100</v>
      </c>
      <c r="R6" s="938">
        <v>44525</v>
      </c>
      <c r="S6" s="986">
        <v>100</v>
      </c>
      <c r="T6" s="938">
        <v>44532</v>
      </c>
      <c r="U6" s="986">
        <v>100</v>
      </c>
      <c r="V6" s="938">
        <v>44529</v>
      </c>
      <c r="W6" s="990">
        <v>100</v>
      </c>
      <c r="X6" s="938">
        <v>44532</v>
      </c>
      <c r="Y6" s="990">
        <v>100</v>
      </c>
      <c r="Z6" s="938">
        <v>44508</v>
      </c>
      <c r="AA6" s="986"/>
      <c r="AB6" s="938"/>
      <c r="AC6" s="990"/>
      <c r="AD6" s="938"/>
      <c r="AE6" s="994"/>
      <c r="AF6" s="997">
        <v>44508</v>
      </c>
      <c r="AG6" s="963">
        <v>500</v>
      </c>
      <c r="AH6" s="612">
        <f>A35+L35</f>
        <v>17404.599999999999</v>
      </c>
      <c r="AI6" s="317">
        <f>D35+H35+K35+N35</f>
        <v>943.8</v>
      </c>
      <c r="AJ6" s="128">
        <f>L36+C35</f>
        <v>0</v>
      </c>
      <c r="AK6" s="129">
        <f>F35+G35+I35+M35+Q35+S35+U35+W35+Y35+AA35+AC35</f>
        <v>3738.7799999999997</v>
      </c>
    </row>
    <row r="7" spans="1:37" ht="19.5" thickBot="1" x14ac:dyDescent="0.3">
      <c r="A7" s="681"/>
      <c r="B7" s="979"/>
      <c r="C7" s="946"/>
      <c r="D7" s="618"/>
      <c r="E7" s="979">
        <v>44526</v>
      </c>
      <c r="F7" s="953">
        <v>50</v>
      </c>
      <c r="G7" s="976"/>
      <c r="H7" s="953"/>
      <c r="I7" s="618"/>
      <c r="J7" s="979"/>
      <c r="K7" s="953"/>
      <c r="L7" s="960"/>
      <c r="M7" s="982"/>
      <c r="N7" s="953"/>
      <c r="O7" s="976"/>
      <c r="P7" s="946"/>
      <c r="Q7" s="986">
        <v>100</v>
      </c>
      <c r="R7" s="938">
        <v>44532</v>
      </c>
      <c r="S7" s="986">
        <v>100</v>
      </c>
      <c r="T7" s="938">
        <v>44539</v>
      </c>
      <c r="U7" s="986">
        <v>100</v>
      </c>
      <c r="V7" s="938">
        <v>44537</v>
      </c>
      <c r="W7" s="990">
        <v>100</v>
      </c>
      <c r="X7" s="938">
        <v>44539</v>
      </c>
      <c r="Y7" s="990">
        <v>100</v>
      </c>
      <c r="Z7" s="938">
        <v>44516</v>
      </c>
      <c r="AA7" s="986"/>
      <c r="AB7" s="938"/>
      <c r="AC7" s="990"/>
      <c r="AD7" s="938"/>
      <c r="AE7" s="994"/>
      <c r="AF7" s="997">
        <v>44518</v>
      </c>
      <c r="AG7" s="963">
        <v>500</v>
      </c>
      <c r="AH7" s="613" t="s">
        <v>66</v>
      </c>
      <c r="AI7" s="321" t="s">
        <v>67</v>
      </c>
    </row>
    <row r="8" spans="1:37" x14ac:dyDescent="0.25">
      <c r="A8" s="681"/>
      <c r="B8" s="979"/>
      <c r="C8" s="946"/>
      <c r="D8" s="618">
        <v>153.78</v>
      </c>
      <c r="E8" s="979">
        <v>44530</v>
      </c>
      <c r="F8" s="953"/>
      <c r="G8" s="976"/>
      <c r="H8" s="953"/>
      <c r="I8" s="618"/>
      <c r="J8" s="979"/>
      <c r="K8" s="953"/>
      <c r="L8" s="960"/>
      <c r="M8" s="982"/>
      <c r="N8" s="963"/>
      <c r="O8" s="976"/>
      <c r="P8" s="946"/>
      <c r="Q8" s="986">
        <v>100</v>
      </c>
      <c r="R8" s="938">
        <v>44539</v>
      </c>
      <c r="S8" s="976"/>
      <c r="T8" s="938"/>
      <c r="U8" s="986"/>
      <c r="V8" s="938"/>
      <c r="W8" s="990"/>
      <c r="X8" s="938"/>
      <c r="Y8" s="990">
        <v>20</v>
      </c>
      <c r="Z8" s="938">
        <v>44518</v>
      </c>
      <c r="AA8" s="986"/>
      <c r="AB8" s="938"/>
      <c r="AC8" s="990"/>
      <c r="AD8" s="938"/>
      <c r="AE8" s="994"/>
      <c r="AF8" s="997">
        <v>44523</v>
      </c>
      <c r="AG8" s="963">
        <v>500</v>
      </c>
      <c r="AH8" s="326">
        <v>0</v>
      </c>
      <c r="AI8" s="327">
        <f>E35</f>
        <v>0</v>
      </c>
    </row>
    <row r="9" spans="1:37" ht="15.75" thickBot="1" x14ac:dyDescent="0.3">
      <c r="A9" s="681"/>
      <c r="B9" s="979"/>
      <c r="C9" s="946"/>
      <c r="D9" s="618"/>
      <c r="E9" s="979">
        <v>44537</v>
      </c>
      <c r="F9" s="953">
        <v>20</v>
      </c>
      <c r="G9" s="976"/>
      <c r="H9" s="953"/>
      <c r="I9" s="618"/>
      <c r="J9" s="979"/>
      <c r="K9" s="953"/>
      <c r="L9" s="960"/>
      <c r="M9" s="982"/>
      <c r="N9" s="953"/>
      <c r="O9" s="976"/>
      <c r="P9" s="946"/>
      <c r="Q9" s="986">
        <v>50</v>
      </c>
      <c r="R9" s="938">
        <v>44548</v>
      </c>
      <c r="S9" s="976"/>
      <c r="T9" s="938"/>
      <c r="U9" s="986"/>
      <c r="V9" s="938"/>
      <c r="W9" s="990"/>
      <c r="X9" s="938"/>
      <c r="Y9" s="990">
        <v>80</v>
      </c>
      <c r="Z9" s="938">
        <v>44523</v>
      </c>
      <c r="AA9" s="986"/>
      <c r="AB9" s="938"/>
      <c r="AC9" s="990"/>
      <c r="AD9" s="938"/>
      <c r="AE9" s="994"/>
      <c r="AF9" s="997">
        <v>44523</v>
      </c>
      <c r="AG9" s="963">
        <v>500</v>
      </c>
      <c r="AH9" s="1244">
        <f>AH8-AI8</f>
        <v>0</v>
      </c>
      <c r="AI9" s="1222"/>
    </row>
    <row r="10" spans="1:37" x14ac:dyDescent="0.25">
      <c r="A10" s="681"/>
      <c r="B10" s="979"/>
      <c r="C10" s="946"/>
      <c r="D10" s="618">
        <v>150.02000000000001</v>
      </c>
      <c r="E10" s="979">
        <v>44538</v>
      </c>
      <c r="F10" s="953"/>
      <c r="G10" s="976"/>
      <c r="H10" s="953"/>
      <c r="I10" s="618"/>
      <c r="J10" s="979"/>
      <c r="K10" s="953"/>
      <c r="L10" s="960"/>
      <c r="M10" s="982"/>
      <c r="N10" s="953"/>
      <c r="O10" s="976"/>
      <c r="P10" s="946"/>
      <c r="Q10" s="986"/>
      <c r="R10" s="938"/>
      <c r="S10" s="976"/>
      <c r="T10" s="938"/>
      <c r="U10" s="986"/>
      <c r="V10" s="938"/>
      <c r="W10" s="990"/>
      <c r="X10" s="938"/>
      <c r="Y10" s="990">
        <v>100</v>
      </c>
      <c r="Z10" s="938">
        <v>44527</v>
      </c>
      <c r="AA10" s="976"/>
      <c r="AB10" s="938"/>
      <c r="AC10" s="991"/>
      <c r="AD10" s="938"/>
      <c r="AE10" s="994"/>
      <c r="AF10" s="997">
        <v>44523</v>
      </c>
      <c r="AG10" s="963">
        <v>500</v>
      </c>
      <c r="AH10" s="610"/>
    </row>
    <row r="11" spans="1:37" x14ac:dyDescent="0.25">
      <c r="A11" s="681"/>
      <c r="B11" s="979"/>
      <c r="C11" s="946"/>
      <c r="D11" s="618">
        <v>150</v>
      </c>
      <c r="E11" s="979">
        <v>44545</v>
      </c>
      <c r="F11" s="953"/>
      <c r="G11" s="976"/>
      <c r="H11" s="953"/>
      <c r="I11" s="618"/>
      <c r="J11" s="979"/>
      <c r="K11" s="953"/>
      <c r="L11" s="960"/>
      <c r="M11" s="982"/>
      <c r="N11" s="963"/>
      <c r="O11" s="976"/>
      <c r="P11" s="946"/>
      <c r="Q11" s="986"/>
      <c r="R11" s="938"/>
      <c r="S11" s="976"/>
      <c r="T11" s="938"/>
      <c r="U11" s="986"/>
      <c r="V11" s="938"/>
      <c r="W11" s="990"/>
      <c r="X11" s="938"/>
      <c r="Y11" s="990">
        <v>100</v>
      </c>
      <c r="Z11" s="938">
        <v>44532</v>
      </c>
      <c r="AA11" s="976"/>
      <c r="AB11" s="938"/>
      <c r="AC11" s="991"/>
      <c r="AD11" s="938"/>
      <c r="AE11" s="994"/>
      <c r="AF11" s="997">
        <v>44532</v>
      </c>
      <c r="AG11" s="963">
        <v>500</v>
      </c>
      <c r="AH11" s="610"/>
    </row>
    <row r="12" spans="1:37" x14ac:dyDescent="0.25">
      <c r="A12" s="681"/>
      <c r="B12" s="979"/>
      <c r="C12" s="946"/>
      <c r="D12" s="618">
        <v>28.01</v>
      </c>
      <c r="E12" s="979">
        <v>44548</v>
      </c>
      <c r="F12" s="953"/>
      <c r="G12" s="976"/>
      <c r="H12" s="953"/>
      <c r="I12" s="618"/>
      <c r="J12" s="979"/>
      <c r="K12" s="953"/>
      <c r="L12" s="960"/>
      <c r="M12" s="982"/>
      <c r="N12" s="953"/>
      <c r="O12" s="976"/>
      <c r="P12" s="946"/>
      <c r="Q12" s="986"/>
      <c r="R12" s="938"/>
      <c r="S12" s="976"/>
      <c r="T12" s="938"/>
      <c r="U12" s="986"/>
      <c r="V12" s="938"/>
      <c r="W12" s="990"/>
      <c r="X12" s="938"/>
      <c r="Y12" s="990">
        <v>100</v>
      </c>
      <c r="Z12" s="938">
        <v>44537</v>
      </c>
      <c r="AA12" s="976"/>
      <c r="AB12" s="938"/>
      <c r="AC12" s="991"/>
      <c r="AD12" s="938"/>
      <c r="AE12" s="994"/>
      <c r="AF12" s="997">
        <v>44532</v>
      </c>
      <c r="AG12" s="963">
        <v>500</v>
      </c>
      <c r="AH12" s="610"/>
    </row>
    <row r="13" spans="1:37" x14ac:dyDescent="0.25">
      <c r="A13" s="681"/>
      <c r="B13" s="979"/>
      <c r="C13" s="946"/>
      <c r="D13" s="618"/>
      <c r="E13" s="979"/>
      <c r="F13" s="953"/>
      <c r="G13" s="976"/>
      <c r="H13" s="953"/>
      <c r="I13" s="618"/>
      <c r="J13" s="979"/>
      <c r="K13" s="953"/>
      <c r="L13" s="960"/>
      <c r="M13" s="982"/>
      <c r="N13" s="953"/>
      <c r="O13" s="976"/>
      <c r="P13" s="946"/>
      <c r="Q13" s="986"/>
      <c r="R13" s="938"/>
      <c r="S13" s="976"/>
      <c r="T13" s="938"/>
      <c r="U13" s="986"/>
      <c r="V13" s="938"/>
      <c r="W13" s="990"/>
      <c r="X13" s="938"/>
      <c r="Y13" s="990"/>
      <c r="Z13" s="938"/>
      <c r="AA13" s="976"/>
      <c r="AB13" s="938"/>
      <c r="AC13" s="991"/>
      <c r="AD13" s="938"/>
      <c r="AE13" s="994"/>
      <c r="AF13" s="997">
        <v>44539</v>
      </c>
      <c r="AG13" s="963">
        <v>200</v>
      </c>
      <c r="AH13" s="610"/>
    </row>
    <row r="14" spans="1:37" x14ac:dyDescent="0.25">
      <c r="A14" s="681"/>
      <c r="B14" s="979"/>
      <c r="C14" s="946"/>
      <c r="D14" s="618"/>
      <c r="E14" s="979"/>
      <c r="F14" s="953"/>
      <c r="G14" s="976"/>
      <c r="H14" s="953"/>
      <c r="I14" s="618"/>
      <c r="J14" s="979"/>
      <c r="K14" s="953"/>
      <c r="L14" s="960"/>
      <c r="M14" s="982"/>
      <c r="N14" s="953"/>
      <c r="O14" s="976"/>
      <c r="P14" s="946"/>
      <c r="Q14" s="986"/>
      <c r="R14" s="938"/>
      <c r="S14" s="976"/>
      <c r="T14" s="938"/>
      <c r="U14" s="986"/>
      <c r="V14" s="938"/>
      <c r="W14" s="990"/>
      <c r="X14" s="938"/>
      <c r="Y14" s="990"/>
      <c r="Z14" s="938"/>
      <c r="AA14" s="976"/>
      <c r="AB14" s="938"/>
      <c r="AC14" s="991"/>
      <c r="AD14" s="938"/>
      <c r="AE14" s="994"/>
      <c r="AF14" s="997"/>
      <c r="AG14" s="953"/>
      <c r="AH14" s="610"/>
    </row>
    <row r="15" spans="1:37" x14ac:dyDescent="0.25">
      <c r="A15" s="681"/>
      <c r="B15" s="979"/>
      <c r="C15" s="946"/>
      <c r="D15" s="618"/>
      <c r="E15" s="979"/>
      <c r="F15" s="953"/>
      <c r="G15" s="976"/>
      <c r="H15" s="953"/>
      <c r="I15" s="618"/>
      <c r="J15" s="979"/>
      <c r="K15" s="953"/>
      <c r="L15" s="960"/>
      <c r="M15" s="982"/>
      <c r="N15" s="953"/>
      <c r="O15" s="976"/>
      <c r="P15" s="946"/>
      <c r="Q15" s="986"/>
      <c r="R15" s="938"/>
      <c r="S15" s="976"/>
      <c r="T15" s="938"/>
      <c r="U15" s="986"/>
      <c r="V15" s="938"/>
      <c r="W15" s="991"/>
      <c r="X15" s="938"/>
      <c r="Y15" s="990"/>
      <c r="Z15" s="938"/>
      <c r="AA15" s="976"/>
      <c r="AB15" s="938"/>
      <c r="AC15" s="991"/>
      <c r="AD15" s="938"/>
      <c r="AE15" s="994"/>
      <c r="AF15" s="997"/>
      <c r="AG15" s="953"/>
      <c r="AH15" s="610"/>
    </row>
    <row r="16" spans="1:37" x14ac:dyDescent="0.25">
      <c r="A16" s="681"/>
      <c r="B16" s="979"/>
      <c r="C16" s="946"/>
      <c r="D16" s="618"/>
      <c r="E16" s="979"/>
      <c r="F16" s="953"/>
      <c r="G16" s="976"/>
      <c r="H16" s="953"/>
      <c r="I16" s="618"/>
      <c r="J16" s="979"/>
      <c r="K16" s="953"/>
      <c r="L16" s="960"/>
      <c r="M16" s="982"/>
      <c r="N16" s="953"/>
      <c r="O16" s="976"/>
      <c r="P16" s="946"/>
      <c r="Q16" s="986"/>
      <c r="R16" s="938"/>
      <c r="S16" s="976"/>
      <c r="T16" s="938"/>
      <c r="U16" s="986"/>
      <c r="V16" s="938"/>
      <c r="W16" s="991"/>
      <c r="X16" s="938"/>
      <c r="Y16" s="990"/>
      <c r="Z16" s="938"/>
      <c r="AA16" s="976"/>
      <c r="AB16" s="938"/>
      <c r="AC16" s="991"/>
      <c r="AD16" s="938"/>
      <c r="AE16" s="994"/>
      <c r="AF16" s="997"/>
      <c r="AG16" s="953"/>
      <c r="AH16" s="610"/>
    </row>
    <row r="17" spans="1:34" x14ac:dyDescent="0.25">
      <c r="A17" s="681"/>
      <c r="B17" s="979"/>
      <c r="C17" s="946"/>
      <c r="D17" s="618"/>
      <c r="E17" s="979"/>
      <c r="F17" s="953"/>
      <c r="G17" s="976"/>
      <c r="H17" s="953"/>
      <c r="I17" s="618"/>
      <c r="J17" s="979"/>
      <c r="K17" s="953"/>
      <c r="L17" s="960"/>
      <c r="M17" s="982"/>
      <c r="N17" s="953"/>
      <c r="O17" s="976"/>
      <c r="P17" s="946"/>
      <c r="Q17" s="986"/>
      <c r="R17" s="938"/>
      <c r="S17" s="976"/>
      <c r="T17" s="938"/>
      <c r="U17" s="986"/>
      <c r="V17" s="938"/>
      <c r="W17" s="991"/>
      <c r="X17" s="938"/>
      <c r="Y17" s="990"/>
      <c r="Z17" s="938"/>
      <c r="AA17" s="976"/>
      <c r="AB17" s="938"/>
      <c r="AC17" s="991"/>
      <c r="AD17" s="938"/>
      <c r="AE17" s="994"/>
      <c r="AF17" s="997"/>
      <c r="AG17" s="953"/>
      <c r="AH17" s="610"/>
    </row>
    <row r="18" spans="1:34" x14ac:dyDescent="0.25">
      <c r="A18" s="681"/>
      <c r="B18" s="979"/>
      <c r="C18" s="946"/>
      <c r="D18" s="618"/>
      <c r="E18" s="979"/>
      <c r="F18" s="953"/>
      <c r="G18" s="976"/>
      <c r="H18" s="953"/>
      <c r="I18" s="618"/>
      <c r="J18" s="979"/>
      <c r="K18" s="953"/>
      <c r="L18" s="960"/>
      <c r="M18" s="982"/>
      <c r="N18" s="953"/>
      <c r="O18" s="976"/>
      <c r="P18" s="946"/>
      <c r="Q18" s="986"/>
      <c r="R18" s="938"/>
      <c r="S18" s="976"/>
      <c r="T18" s="938"/>
      <c r="U18" s="986"/>
      <c r="V18" s="938"/>
      <c r="W18" s="991"/>
      <c r="X18" s="938"/>
      <c r="Y18" s="991"/>
      <c r="Z18" s="938"/>
      <c r="AA18" s="976"/>
      <c r="AB18" s="938"/>
      <c r="AC18" s="991"/>
      <c r="AD18" s="938"/>
      <c r="AE18" s="994"/>
      <c r="AF18" s="997"/>
      <c r="AG18" s="953"/>
      <c r="AH18" s="610"/>
    </row>
    <row r="19" spans="1:34" x14ac:dyDescent="0.25">
      <c r="A19" s="681"/>
      <c r="B19" s="979"/>
      <c r="C19" s="946"/>
      <c r="D19" s="618"/>
      <c r="E19" s="979"/>
      <c r="F19" s="953"/>
      <c r="G19" s="976"/>
      <c r="H19" s="953"/>
      <c r="I19" s="618"/>
      <c r="J19" s="979"/>
      <c r="K19" s="953"/>
      <c r="L19" s="960"/>
      <c r="M19" s="982"/>
      <c r="N19" s="953"/>
      <c r="O19" s="976"/>
      <c r="P19" s="946"/>
      <c r="Q19" s="986"/>
      <c r="R19" s="938"/>
      <c r="S19" s="976"/>
      <c r="T19" s="938"/>
      <c r="U19" s="986"/>
      <c r="V19" s="938"/>
      <c r="W19" s="991"/>
      <c r="X19" s="938"/>
      <c r="Y19" s="991"/>
      <c r="Z19" s="938"/>
      <c r="AA19" s="976"/>
      <c r="AB19" s="938"/>
      <c r="AC19" s="991"/>
      <c r="AD19" s="938"/>
      <c r="AE19" s="994"/>
      <c r="AF19" s="997"/>
      <c r="AG19" s="953"/>
      <c r="AH19" s="614"/>
    </row>
    <row r="20" spans="1:34" x14ac:dyDescent="0.25">
      <c r="A20" s="681"/>
      <c r="B20" s="979"/>
      <c r="C20" s="946"/>
      <c r="D20" s="618"/>
      <c r="E20" s="979"/>
      <c r="F20" s="953"/>
      <c r="G20" s="976"/>
      <c r="H20" s="953"/>
      <c r="I20" s="618"/>
      <c r="J20" s="979"/>
      <c r="K20" s="953"/>
      <c r="L20" s="960"/>
      <c r="M20" s="982"/>
      <c r="N20" s="953"/>
      <c r="O20" s="976"/>
      <c r="P20" s="946"/>
      <c r="Q20" s="986"/>
      <c r="R20" s="938"/>
      <c r="S20" s="976"/>
      <c r="T20" s="938"/>
      <c r="U20" s="986"/>
      <c r="V20" s="938"/>
      <c r="W20" s="991"/>
      <c r="X20" s="938"/>
      <c r="Y20" s="991"/>
      <c r="Z20" s="938"/>
      <c r="AA20" s="976"/>
      <c r="AB20" s="938"/>
      <c r="AC20" s="991"/>
      <c r="AD20" s="938"/>
      <c r="AE20" s="994"/>
      <c r="AF20" s="997"/>
      <c r="AG20" s="953"/>
      <c r="AH20" s="614"/>
    </row>
    <row r="21" spans="1:34" x14ac:dyDescent="0.25">
      <c r="A21" s="681"/>
      <c r="B21" s="979"/>
      <c r="C21" s="946"/>
      <c r="D21" s="618"/>
      <c r="E21" s="979"/>
      <c r="F21" s="953"/>
      <c r="G21" s="976"/>
      <c r="H21" s="953"/>
      <c r="I21" s="618"/>
      <c r="J21" s="979"/>
      <c r="K21" s="953"/>
      <c r="L21" s="960"/>
      <c r="M21" s="982"/>
      <c r="N21" s="953"/>
      <c r="O21" s="976"/>
      <c r="P21" s="946"/>
      <c r="Q21" s="986"/>
      <c r="R21" s="938"/>
      <c r="S21" s="976"/>
      <c r="T21" s="938"/>
      <c r="U21" s="986"/>
      <c r="V21" s="938"/>
      <c r="W21" s="991"/>
      <c r="X21" s="938"/>
      <c r="Y21" s="991"/>
      <c r="Z21" s="938"/>
      <c r="AA21" s="976"/>
      <c r="AB21" s="938"/>
      <c r="AC21" s="991"/>
      <c r="AD21" s="938"/>
      <c r="AE21" s="994"/>
      <c r="AF21" s="997"/>
      <c r="AG21" s="953"/>
      <c r="AH21" s="614"/>
    </row>
    <row r="22" spans="1:34" x14ac:dyDescent="0.25">
      <c r="A22" s="681"/>
      <c r="B22" s="979"/>
      <c r="C22" s="946"/>
      <c r="D22" s="618"/>
      <c r="E22" s="979"/>
      <c r="F22" s="953"/>
      <c r="G22" s="976"/>
      <c r="H22" s="953"/>
      <c r="I22" s="618"/>
      <c r="J22" s="979"/>
      <c r="K22" s="953"/>
      <c r="L22" s="960"/>
      <c r="M22" s="982"/>
      <c r="N22" s="953"/>
      <c r="O22" s="976"/>
      <c r="P22" s="946"/>
      <c r="Q22" s="986"/>
      <c r="R22" s="938"/>
      <c r="S22" s="976"/>
      <c r="T22" s="938"/>
      <c r="U22" s="986"/>
      <c r="V22" s="938"/>
      <c r="W22" s="991"/>
      <c r="X22" s="938"/>
      <c r="Y22" s="991"/>
      <c r="Z22" s="938"/>
      <c r="AA22" s="976"/>
      <c r="AB22" s="938"/>
      <c r="AC22" s="991"/>
      <c r="AD22" s="938"/>
      <c r="AE22" s="994"/>
      <c r="AF22" s="997"/>
      <c r="AG22" s="953"/>
      <c r="AH22" s="614"/>
    </row>
    <row r="23" spans="1:34" x14ac:dyDescent="0.25">
      <c r="A23" s="681"/>
      <c r="B23" s="979"/>
      <c r="C23" s="946"/>
      <c r="D23" s="618"/>
      <c r="E23" s="979"/>
      <c r="F23" s="953"/>
      <c r="G23" s="976"/>
      <c r="H23" s="953"/>
      <c r="I23" s="618"/>
      <c r="J23" s="979"/>
      <c r="K23" s="953"/>
      <c r="L23" s="960"/>
      <c r="M23" s="982"/>
      <c r="N23" s="953"/>
      <c r="O23" s="976"/>
      <c r="P23" s="946"/>
      <c r="Q23" s="986"/>
      <c r="R23" s="938"/>
      <c r="S23" s="976"/>
      <c r="T23" s="938"/>
      <c r="U23" s="986"/>
      <c r="V23" s="938"/>
      <c r="W23" s="991"/>
      <c r="X23" s="938"/>
      <c r="Y23" s="991"/>
      <c r="Z23" s="938"/>
      <c r="AA23" s="976"/>
      <c r="AB23" s="938"/>
      <c r="AC23" s="991"/>
      <c r="AD23" s="938"/>
      <c r="AE23" s="994"/>
      <c r="AF23" s="997"/>
      <c r="AG23" s="953"/>
      <c r="AH23" s="614"/>
    </row>
    <row r="24" spans="1:34" x14ac:dyDescent="0.25">
      <c r="A24" s="681"/>
      <c r="B24" s="979"/>
      <c r="C24" s="946"/>
      <c r="D24" s="618"/>
      <c r="E24" s="979"/>
      <c r="F24" s="953"/>
      <c r="G24" s="976"/>
      <c r="H24" s="953"/>
      <c r="I24" s="618"/>
      <c r="J24" s="979"/>
      <c r="K24" s="953"/>
      <c r="L24" s="960"/>
      <c r="M24" s="982"/>
      <c r="N24" s="953"/>
      <c r="O24" s="976"/>
      <c r="P24" s="946"/>
      <c r="Q24" s="986"/>
      <c r="R24" s="938"/>
      <c r="S24" s="976"/>
      <c r="T24" s="938"/>
      <c r="U24" s="986"/>
      <c r="V24" s="938"/>
      <c r="W24" s="991"/>
      <c r="X24" s="938"/>
      <c r="Y24" s="991"/>
      <c r="Z24" s="938"/>
      <c r="AA24" s="976"/>
      <c r="AB24" s="938"/>
      <c r="AC24" s="991"/>
      <c r="AD24" s="938"/>
      <c r="AE24" s="994"/>
      <c r="AF24" s="997"/>
      <c r="AG24" s="953"/>
      <c r="AH24" s="614"/>
    </row>
    <row r="25" spans="1:34" x14ac:dyDescent="0.25">
      <c r="A25" s="681"/>
      <c r="B25" s="979"/>
      <c r="C25" s="946"/>
      <c r="D25" s="618"/>
      <c r="E25" s="979"/>
      <c r="F25" s="953"/>
      <c r="G25" s="976"/>
      <c r="H25" s="953"/>
      <c r="I25" s="618"/>
      <c r="J25" s="979"/>
      <c r="K25" s="953"/>
      <c r="L25" s="960"/>
      <c r="M25" s="982"/>
      <c r="N25" s="953"/>
      <c r="O25" s="976"/>
      <c r="P25" s="946"/>
      <c r="Q25" s="986"/>
      <c r="R25" s="938"/>
      <c r="S25" s="976"/>
      <c r="T25" s="938"/>
      <c r="U25" s="986"/>
      <c r="V25" s="938"/>
      <c r="W25" s="991"/>
      <c r="X25" s="938"/>
      <c r="Y25" s="991"/>
      <c r="Z25" s="938"/>
      <c r="AA25" s="976"/>
      <c r="AB25" s="938"/>
      <c r="AC25" s="991"/>
      <c r="AD25" s="938"/>
      <c r="AE25" s="994"/>
      <c r="AF25" s="997"/>
      <c r="AG25" s="953"/>
      <c r="AH25" s="614"/>
    </row>
    <row r="26" spans="1:34" x14ac:dyDescent="0.25">
      <c r="A26" s="681"/>
      <c r="B26" s="979"/>
      <c r="C26" s="946"/>
      <c r="D26" s="618"/>
      <c r="E26" s="979"/>
      <c r="F26" s="953"/>
      <c r="G26" s="976"/>
      <c r="H26" s="953"/>
      <c r="I26" s="618"/>
      <c r="J26" s="979"/>
      <c r="K26" s="953"/>
      <c r="L26" s="960"/>
      <c r="M26" s="982"/>
      <c r="N26" s="953"/>
      <c r="O26" s="976"/>
      <c r="P26" s="946"/>
      <c r="Q26" s="986"/>
      <c r="R26" s="938"/>
      <c r="S26" s="976"/>
      <c r="T26" s="938"/>
      <c r="U26" s="986"/>
      <c r="V26" s="938"/>
      <c r="W26" s="991"/>
      <c r="X26" s="938"/>
      <c r="Y26" s="991"/>
      <c r="Z26" s="938"/>
      <c r="AA26" s="976"/>
      <c r="AB26" s="938"/>
      <c r="AC26" s="991"/>
      <c r="AD26" s="938"/>
      <c r="AE26" s="994"/>
      <c r="AF26" s="997"/>
      <c r="AG26" s="953"/>
      <c r="AH26" s="614"/>
    </row>
    <row r="27" spans="1:34" x14ac:dyDescent="0.25">
      <c r="A27" s="681"/>
      <c r="B27" s="979"/>
      <c r="C27" s="946"/>
      <c r="D27" s="618"/>
      <c r="E27" s="979"/>
      <c r="F27" s="953"/>
      <c r="G27" s="976"/>
      <c r="H27" s="953"/>
      <c r="I27" s="618"/>
      <c r="J27" s="979"/>
      <c r="K27" s="953"/>
      <c r="L27" s="960"/>
      <c r="M27" s="982"/>
      <c r="N27" s="953"/>
      <c r="O27" s="976"/>
      <c r="P27" s="946"/>
      <c r="Q27" s="986"/>
      <c r="R27" s="938"/>
      <c r="S27" s="976"/>
      <c r="T27" s="938"/>
      <c r="U27" s="986"/>
      <c r="V27" s="938"/>
      <c r="W27" s="991"/>
      <c r="X27" s="938"/>
      <c r="Y27" s="991"/>
      <c r="Z27" s="938"/>
      <c r="AA27" s="976"/>
      <c r="AB27" s="938"/>
      <c r="AC27" s="991"/>
      <c r="AD27" s="938"/>
      <c r="AE27" s="994"/>
      <c r="AF27" s="997"/>
      <c r="AG27" s="953"/>
      <c r="AH27" s="614"/>
    </row>
    <row r="28" spans="1:34" x14ac:dyDescent="0.25">
      <c r="A28" s="681"/>
      <c r="B28" s="979"/>
      <c r="C28" s="946"/>
      <c r="D28" s="618"/>
      <c r="E28" s="979"/>
      <c r="F28" s="953"/>
      <c r="G28" s="976"/>
      <c r="H28" s="953"/>
      <c r="I28" s="618"/>
      <c r="J28" s="979"/>
      <c r="K28" s="953"/>
      <c r="L28" s="960"/>
      <c r="M28" s="982"/>
      <c r="N28" s="953"/>
      <c r="O28" s="976"/>
      <c r="P28" s="946"/>
      <c r="Q28" s="986"/>
      <c r="R28" s="938"/>
      <c r="S28" s="976"/>
      <c r="T28" s="938"/>
      <c r="U28" s="986"/>
      <c r="V28" s="938"/>
      <c r="W28" s="991"/>
      <c r="X28" s="938"/>
      <c r="Y28" s="991"/>
      <c r="Z28" s="938"/>
      <c r="AA28" s="976"/>
      <c r="AB28" s="938"/>
      <c r="AC28" s="991"/>
      <c r="AD28" s="938"/>
      <c r="AE28" s="994"/>
      <c r="AF28" s="997"/>
      <c r="AG28" s="953"/>
      <c r="AH28" s="614"/>
    </row>
    <row r="29" spans="1:34" x14ac:dyDescent="0.25">
      <c r="A29" s="681"/>
      <c r="B29" s="979"/>
      <c r="C29" s="946"/>
      <c r="D29" s="618"/>
      <c r="E29" s="979"/>
      <c r="F29" s="953"/>
      <c r="G29" s="976"/>
      <c r="H29" s="953"/>
      <c r="I29" s="618"/>
      <c r="J29" s="979"/>
      <c r="K29" s="953"/>
      <c r="L29" s="960"/>
      <c r="M29" s="982"/>
      <c r="N29" s="953"/>
      <c r="O29" s="976"/>
      <c r="P29" s="946"/>
      <c r="Q29" s="986"/>
      <c r="R29" s="938"/>
      <c r="S29" s="976"/>
      <c r="T29" s="938"/>
      <c r="U29" s="986"/>
      <c r="V29" s="938"/>
      <c r="W29" s="991"/>
      <c r="X29" s="938"/>
      <c r="Y29" s="991"/>
      <c r="Z29" s="938"/>
      <c r="AA29" s="976"/>
      <c r="AB29" s="938"/>
      <c r="AC29" s="991"/>
      <c r="AD29" s="938"/>
      <c r="AE29" s="994"/>
      <c r="AF29" s="997"/>
      <c r="AG29" s="953"/>
      <c r="AH29" s="614"/>
    </row>
    <row r="30" spans="1:34" x14ac:dyDescent="0.25">
      <c r="A30" s="681"/>
      <c r="B30" s="979"/>
      <c r="C30" s="946"/>
      <c r="D30" s="618"/>
      <c r="E30" s="979"/>
      <c r="F30" s="953"/>
      <c r="G30" s="976"/>
      <c r="H30" s="953"/>
      <c r="I30" s="618"/>
      <c r="J30" s="979"/>
      <c r="K30" s="953"/>
      <c r="L30" s="960"/>
      <c r="M30" s="982"/>
      <c r="N30" s="953"/>
      <c r="O30" s="976"/>
      <c r="P30" s="946"/>
      <c r="Q30" s="986"/>
      <c r="R30" s="938"/>
      <c r="S30" s="976"/>
      <c r="T30" s="938"/>
      <c r="U30" s="986"/>
      <c r="V30" s="938"/>
      <c r="W30" s="991"/>
      <c r="X30" s="938"/>
      <c r="Y30" s="991"/>
      <c r="Z30" s="938"/>
      <c r="AA30" s="976"/>
      <c r="AB30" s="938"/>
      <c r="AC30" s="991"/>
      <c r="AD30" s="938"/>
      <c r="AE30" s="994"/>
      <c r="AF30" s="997"/>
      <c r="AG30" s="953"/>
      <c r="AH30" s="614"/>
    </row>
    <row r="31" spans="1:34" x14ac:dyDescent="0.25">
      <c r="A31" s="681"/>
      <c r="B31" s="979"/>
      <c r="C31" s="946"/>
      <c r="D31" s="618"/>
      <c r="E31" s="979"/>
      <c r="F31" s="953"/>
      <c r="G31" s="976"/>
      <c r="H31" s="953"/>
      <c r="I31" s="618"/>
      <c r="J31" s="979"/>
      <c r="K31" s="953"/>
      <c r="L31" s="960"/>
      <c r="M31" s="982"/>
      <c r="N31" s="953"/>
      <c r="O31" s="976"/>
      <c r="P31" s="946"/>
      <c r="Q31" s="986"/>
      <c r="R31" s="938"/>
      <c r="S31" s="976"/>
      <c r="T31" s="938"/>
      <c r="U31" s="986"/>
      <c r="V31" s="938"/>
      <c r="W31" s="991"/>
      <c r="X31" s="938"/>
      <c r="Y31" s="991"/>
      <c r="Z31" s="938"/>
      <c r="AA31" s="976"/>
      <c r="AB31" s="938"/>
      <c r="AC31" s="991"/>
      <c r="AD31" s="938"/>
      <c r="AE31" s="994"/>
      <c r="AF31" s="997"/>
      <c r="AG31" s="953"/>
      <c r="AH31" s="614"/>
    </row>
    <row r="32" spans="1:34" x14ac:dyDescent="0.25">
      <c r="A32" s="681"/>
      <c r="B32" s="979"/>
      <c r="C32" s="946"/>
      <c r="D32" s="618"/>
      <c r="E32" s="979"/>
      <c r="F32" s="953"/>
      <c r="G32" s="976"/>
      <c r="H32" s="953"/>
      <c r="I32" s="618"/>
      <c r="J32" s="979"/>
      <c r="K32" s="953"/>
      <c r="L32" s="960"/>
      <c r="M32" s="982"/>
      <c r="N32" s="953"/>
      <c r="O32" s="976"/>
      <c r="P32" s="946"/>
      <c r="Q32" s="986"/>
      <c r="R32" s="938"/>
      <c r="S32" s="976"/>
      <c r="T32" s="938"/>
      <c r="U32" s="986"/>
      <c r="V32" s="938"/>
      <c r="W32" s="991"/>
      <c r="X32" s="938"/>
      <c r="Y32" s="991"/>
      <c r="Z32" s="938"/>
      <c r="AA32" s="976"/>
      <c r="AB32" s="938"/>
      <c r="AC32" s="991"/>
      <c r="AD32" s="938"/>
      <c r="AE32" s="994"/>
      <c r="AF32" s="997"/>
      <c r="AG32" s="953"/>
      <c r="AH32" s="614"/>
    </row>
    <row r="33" spans="1:34" ht="15.75" thickBot="1" x14ac:dyDescent="0.3">
      <c r="A33" s="682"/>
      <c r="B33" s="1000"/>
      <c r="C33" s="948"/>
      <c r="D33" s="675"/>
      <c r="E33" s="999"/>
      <c r="F33" s="954"/>
      <c r="G33" s="977"/>
      <c r="H33" s="954"/>
      <c r="I33" s="624"/>
      <c r="J33" s="980"/>
      <c r="K33" s="958"/>
      <c r="L33" s="961"/>
      <c r="M33" s="983"/>
      <c r="N33" s="954"/>
      <c r="O33" s="985"/>
      <c r="P33" s="947"/>
      <c r="Q33" s="987"/>
      <c r="R33" s="939"/>
      <c r="S33" s="988"/>
      <c r="T33" s="940"/>
      <c r="U33" s="987"/>
      <c r="V33" s="939"/>
      <c r="W33" s="992"/>
      <c r="X33" s="939"/>
      <c r="Y33" s="992"/>
      <c r="Z33" s="939"/>
      <c r="AA33" s="977"/>
      <c r="AB33" s="939"/>
      <c r="AC33" s="992"/>
      <c r="AD33" s="939"/>
      <c r="AE33" s="995"/>
      <c r="AF33" s="998"/>
      <c r="AG33" s="954"/>
      <c r="AH33" s="614"/>
    </row>
    <row r="34" spans="1:34" ht="15.75" thickBot="1" x14ac:dyDescent="0.3">
      <c r="A34" s="1285" t="s">
        <v>102</v>
      </c>
      <c r="B34" s="1284"/>
      <c r="C34" s="1277"/>
      <c r="D34" s="669" t="s">
        <v>103</v>
      </c>
      <c r="E34" s="669" t="s">
        <v>61</v>
      </c>
      <c r="F34" s="955" t="s">
        <v>103</v>
      </c>
      <c r="G34" s="1276" t="s">
        <v>103</v>
      </c>
      <c r="H34" s="1277"/>
      <c r="I34" s="1286" t="s">
        <v>102</v>
      </c>
      <c r="J34" s="1287"/>
      <c r="K34" s="1288"/>
      <c r="L34" s="1283" t="s">
        <v>102</v>
      </c>
      <c r="M34" s="1284"/>
      <c r="N34" s="1277"/>
      <c r="O34" s="1286" t="s">
        <v>104</v>
      </c>
      <c r="P34" s="1288"/>
      <c r="Q34" s="1276" t="s">
        <v>104</v>
      </c>
      <c r="R34" s="1277"/>
      <c r="S34" s="1276" t="s">
        <v>104</v>
      </c>
      <c r="T34" s="1277"/>
      <c r="U34" s="1276" t="s">
        <v>104</v>
      </c>
      <c r="V34" s="1277"/>
      <c r="W34" s="1276" t="s">
        <v>104</v>
      </c>
      <c r="X34" s="1277"/>
      <c r="Y34" s="1276" t="s">
        <v>104</v>
      </c>
      <c r="Z34" s="1277"/>
      <c r="AA34" s="1276" t="s">
        <v>102</v>
      </c>
      <c r="AB34" s="1277"/>
      <c r="AC34" s="1276" t="s">
        <v>102</v>
      </c>
      <c r="AD34" s="1277"/>
      <c r="AE34" s="1283" t="s">
        <v>102</v>
      </c>
      <c r="AF34" s="1284"/>
      <c r="AG34" s="1277"/>
      <c r="AH34" s="614"/>
    </row>
    <row r="35" spans="1:34" x14ac:dyDescent="0.25">
      <c r="A35" s="872">
        <f>SUM(A3:A33)</f>
        <v>13452.6</v>
      </c>
      <c r="B35" s="626"/>
      <c r="C35" s="949">
        <f>SUM(C3:C33)</f>
        <v>0</v>
      </c>
      <c r="D35" s="950">
        <f>SUM(D3:D33)</f>
        <v>943.8</v>
      </c>
      <c r="E35" s="629">
        <v>0</v>
      </c>
      <c r="F35" s="956">
        <f>SUM(F3:F33)</f>
        <v>228.78</v>
      </c>
      <c r="G35" s="936">
        <f>SUM(G3:G33)</f>
        <v>0</v>
      </c>
      <c r="H35" s="957">
        <f>SUM(H3:H33)</f>
        <v>0</v>
      </c>
      <c r="I35" s="936">
        <f>SUM(I3:I33)</f>
        <v>0</v>
      </c>
      <c r="J35" s="629"/>
      <c r="K35" s="957">
        <f>SUM(K3:K33)</f>
        <v>0</v>
      </c>
      <c r="L35" s="962">
        <f>SUM(L3:L33)</f>
        <v>3952</v>
      </c>
      <c r="M35" s="873">
        <f>N3+N4+N5+N6+N7+N8+N9+N10</f>
        <v>0</v>
      </c>
      <c r="N35" s="956">
        <f>N27+N28+N29+N30+N31+N32+N33</f>
        <v>0</v>
      </c>
      <c r="O35" s="942">
        <f>O3+O5</f>
        <v>986</v>
      </c>
      <c r="P35" s="943" t="s">
        <v>395</v>
      </c>
      <c r="Q35" s="944">
        <f>SUM(Q3:Q33)</f>
        <v>650</v>
      </c>
      <c r="R35" s="934" t="s">
        <v>103</v>
      </c>
      <c r="S35" s="942">
        <f>SUM(S3:S33)</f>
        <v>500</v>
      </c>
      <c r="T35" s="934" t="s">
        <v>103</v>
      </c>
      <c r="U35" s="942">
        <f>SUM(U3:U33)</f>
        <v>500</v>
      </c>
      <c r="V35" s="934" t="s">
        <v>103</v>
      </c>
      <c r="W35" s="941">
        <f>SUM(W3:W33)</f>
        <v>500</v>
      </c>
      <c r="X35" s="934" t="s">
        <v>103</v>
      </c>
      <c r="Y35" s="941">
        <f>SUM(Y3:Y33)</f>
        <v>800</v>
      </c>
      <c r="Z35" s="934" t="s">
        <v>103</v>
      </c>
      <c r="AA35" s="942">
        <f>SUM(AA3:AA33)</f>
        <v>350</v>
      </c>
      <c r="AB35" s="934" t="s">
        <v>103</v>
      </c>
      <c r="AC35" s="942">
        <f>SUM(AC3:AC33)</f>
        <v>210</v>
      </c>
      <c r="AD35" s="934" t="s">
        <v>103</v>
      </c>
      <c r="AE35" s="962">
        <f>SUM(AE3:AE33)</f>
        <v>0</v>
      </c>
      <c r="AF35" s="629"/>
      <c r="AG35" s="957">
        <f>SUM(AG3:AG33)</f>
        <v>4844.78</v>
      </c>
      <c r="AH35" s="614"/>
    </row>
    <row r="36" spans="1:34" ht="15.75" thickBot="1" x14ac:dyDescent="0.3">
      <c r="A36" s="634"/>
      <c r="B36" s="635"/>
      <c r="C36" s="935"/>
      <c r="D36" s="951"/>
      <c r="E36" s="635"/>
      <c r="F36" s="935"/>
      <c r="G36" s="951"/>
      <c r="H36" s="935"/>
      <c r="I36" s="951"/>
      <c r="J36" s="635"/>
      <c r="K36" s="935"/>
      <c r="L36" s="951"/>
      <c r="M36" s="635" t="s">
        <v>49</v>
      </c>
      <c r="N36" s="935" t="s">
        <v>46</v>
      </c>
      <c r="O36" s="1023">
        <v>400</v>
      </c>
      <c r="P36" s="935" t="s">
        <v>440</v>
      </c>
      <c r="Q36" s="1023">
        <v>400</v>
      </c>
      <c r="R36" s="935" t="s">
        <v>437</v>
      </c>
      <c r="S36" s="1023">
        <v>300</v>
      </c>
      <c r="T36" s="935" t="s">
        <v>437</v>
      </c>
      <c r="U36" s="1023">
        <v>400</v>
      </c>
      <c r="V36" s="935" t="s">
        <v>437</v>
      </c>
      <c r="W36" s="1024">
        <v>300</v>
      </c>
      <c r="X36" s="935" t="s">
        <v>437</v>
      </c>
      <c r="Y36" s="1024">
        <v>400</v>
      </c>
      <c r="Z36" s="935" t="s">
        <v>437</v>
      </c>
      <c r="AA36" s="1024">
        <v>250</v>
      </c>
      <c r="AB36" s="935" t="s">
        <v>437</v>
      </c>
      <c r="AC36" s="1024">
        <v>110</v>
      </c>
      <c r="AD36" s="935" t="s">
        <v>437</v>
      </c>
      <c r="AE36" s="951"/>
      <c r="AF36" s="635"/>
      <c r="AG36" s="935"/>
      <c r="AH36" s="614"/>
    </row>
    <row r="37" spans="1:34" ht="15.75" thickBot="1" x14ac:dyDescent="0.3">
      <c r="A37" s="969"/>
      <c r="B37" s="970"/>
      <c r="C37" s="971"/>
      <c r="D37" s="972"/>
      <c r="E37" s="970"/>
      <c r="F37" s="971"/>
      <c r="G37" s="972"/>
      <c r="H37" s="971"/>
      <c r="I37" s="972"/>
      <c r="J37" s="970"/>
      <c r="K37" s="971"/>
      <c r="L37" s="972"/>
      <c r="M37" s="970"/>
      <c r="N37" s="971"/>
      <c r="O37" s="973">
        <f>O35-O36</f>
        <v>586</v>
      </c>
      <c r="P37" s="971" t="s">
        <v>439</v>
      </c>
      <c r="Q37" s="973">
        <f>Q35-Q36</f>
        <v>250</v>
      </c>
      <c r="R37" s="971" t="s">
        <v>439</v>
      </c>
      <c r="S37" s="973">
        <f>S35-S36</f>
        <v>200</v>
      </c>
      <c r="T37" s="971" t="s">
        <v>439</v>
      </c>
      <c r="U37" s="973">
        <f>U35-U36</f>
        <v>100</v>
      </c>
      <c r="V37" s="971" t="s">
        <v>439</v>
      </c>
      <c r="W37" s="974">
        <f>W35-W36</f>
        <v>200</v>
      </c>
      <c r="X37" s="971" t="s">
        <v>439</v>
      </c>
      <c r="Y37" s="1025">
        <f>Y35-Y36</f>
        <v>400</v>
      </c>
      <c r="Z37" s="971" t="s">
        <v>439</v>
      </c>
      <c r="AA37" s="1021">
        <f>AA35-AA36</f>
        <v>100</v>
      </c>
      <c r="AB37" s="971" t="s">
        <v>439</v>
      </c>
      <c r="AC37" s="1022">
        <f>AC35-AC36</f>
        <v>100</v>
      </c>
      <c r="AD37" s="971" t="s">
        <v>439</v>
      </c>
      <c r="AE37" s="972"/>
      <c r="AF37" s="970"/>
      <c r="AG37" s="971"/>
      <c r="AH37" s="614"/>
    </row>
    <row r="38" spans="1:34" ht="15.75" thickTop="1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/>
      <c r="P38" s="610"/>
      <c r="Q38" s="1030"/>
      <c r="R38" s="1031"/>
      <c r="S38" s="1032"/>
      <c r="T38" s="610"/>
      <c r="U38" s="610"/>
      <c r="V38" s="610"/>
      <c r="W38" s="610"/>
      <c r="X38" s="610"/>
      <c r="Y38" s="610"/>
      <c r="Z38" s="610"/>
      <c r="AA38" s="610"/>
      <c r="AB38" s="610"/>
      <c r="AC38" s="610"/>
      <c r="AD38" s="610"/>
      <c r="AE38" s="610"/>
      <c r="AF38" s="610"/>
      <c r="AG38" s="610"/>
    </row>
    <row r="39" spans="1:34" x14ac:dyDescent="0.25">
      <c r="Q39" s="1033"/>
      <c r="R39" s="1034"/>
      <c r="S39" s="1035"/>
    </row>
    <row r="40" spans="1:34" x14ac:dyDescent="0.25">
      <c r="Q40" s="1033"/>
      <c r="R40" s="1034"/>
      <c r="S40" s="1035"/>
    </row>
    <row r="41" spans="1:34" x14ac:dyDescent="0.25">
      <c r="Q41" s="1033"/>
      <c r="R41" s="1034"/>
      <c r="S41" s="1035"/>
    </row>
    <row r="42" spans="1:34" x14ac:dyDescent="0.25">
      <c r="Q42" s="1033"/>
      <c r="R42" s="1033"/>
      <c r="S42" s="1035"/>
    </row>
    <row r="43" spans="1:34" x14ac:dyDescent="0.25">
      <c r="Q43" s="1036"/>
      <c r="R43" s="1034"/>
      <c r="S43" s="1035"/>
    </row>
    <row r="44" spans="1:34" x14ac:dyDescent="0.25">
      <c r="Q44" s="1035"/>
      <c r="R44" s="1035"/>
      <c r="S44" s="1035"/>
    </row>
    <row r="45" spans="1:34" x14ac:dyDescent="0.25">
      <c r="Q45" s="1035"/>
      <c r="R45" s="1037"/>
      <c r="S45" s="1035"/>
    </row>
    <row r="46" spans="1:34" x14ac:dyDescent="0.25">
      <c r="Q46" s="1035"/>
      <c r="R46" s="1037"/>
      <c r="S46" s="1035"/>
    </row>
    <row r="47" spans="1:34" x14ac:dyDescent="0.25">
      <c r="Q47" s="1035"/>
      <c r="R47" s="1035"/>
      <c r="S47" s="1035"/>
    </row>
    <row r="48" spans="1:34" x14ac:dyDescent="0.25">
      <c r="Q48" s="1035"/>
      <c r="R48" s="1035"/>
      <c r="S48" s="1035"/>
    </row>
    <row r="49" spans="17:19" x14ac:dyDescent="0.25">
      <c r="Q49" s="1035"/>
      <c r="R49" s="1035"/>
      <c r="S49" s="1035"/>
    </row>
    <row r="50" spans="17:19" x14ac:dyDescent="0.25">
      <c r="Q50" s="1038"/>
      <c r="R50" s="1035"/>
      <c r="S50" s="1035"/>
    </row>
    <row r="51" spans="17:19" x14ac:dyDescent="0.25">
      <c r="Q51" s="1035"/>
      <c r="R51" s="1035"/>
      <c r="S51" s="1035"/>
    </row>
    <row r="52" spans="17:19" x14ac:dyDescent="0.25">
      <c r="R52" s="827"/>
    </row>
  </sheetData>
  <mergeCells count="25">
    <mergeCell ref="A34:C34"/>
    <mergeCell ref="G34:H34"/>
    <mergeCell ref="I34:K34"/>
    <mergeCell ref="L34:N34"/>
    <mergeCell ref="O34:P34"/>
    <mergeCell ref="Q34:R34"/>
    <mergeCell ref="AE1:AG1"/>
    <mergeCell ref="AH1:AI1"/>
    <mergeCell ref="AJ1:AK1"/>
    <mergeCell ref="AH4:AI4"/>
    <mergeCell ref="AJ4:AK4"/>
    <mergeCell ref="AH9:AI9"/>
    <mergeCell ref="Q1:AD1"/>
    <mergeCell ref="AE34:AG34"/>
    <mergeCell ref="S34:T34"/>
    <mergeCell ref="U34:V34"/>
    <mergeCell ref="W34:X34"/>
    <mergeCell ref="Y34:Z34"/>
    <mergeCell ref="AA34:AB34"/>
    <mergeCell ref="AC34:AD34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0070C0"/>
  </sheetPr>
  <dimension ref="A1:AP102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" customHeight="1" x14ac:dyDescent="0.25"/>
  <cols>
    <col min="1" max="1" width="9.42578125" customWidth="1"/>
    <col min="2" max="2" width="9" customWidth="1"/>
    <col min="3" max="3" width="9.28515625" customWidth="1"/>
    <col min="4" max="5" width="8.28515625" customWidth="1"/>
    <col min="6" max="8" width="8" customWidth="1"/>
    <col min="9" max="9" width="8.28515625" customWidth="1"/>
    <col min="10" max="10" width="8" customWidth="1"/>
    <col min="11" max="11" width="8.28515625" customWidth="1"/>
    <col min="12" max="12" width="9.85546875" customWidth="1"/>
    <col min="13" max="13" width="9.28515625" customWidth="1"/>
    <col min="14" max="14" width="9.85546875" customWidth="1"/>
    <col min="15" max="15" width="10.28515625" customWidth="1"/>
    <col min="16" max="16" width="8.7109375" customWidth="1"/>
    <col min="17" max="17" width="8.28515625" customWidth="1"/>
    <col min="18" max="18" width="9.28515625" customWidth="1"/>
    <col min="19" max="19" width="8.28515625" customWidth="1"/>
    <col min="20" max="20" width="9.7109375" customWidth="1"/>
    <col min="21" max="21" width="8.28515625" customWidth="1"/>
    <col min="22" max="22" width="8" customWidth="1"/>
    <col min="23" max="25" width="8.28515625" customWidth="1"/>
    <col min="26" max="26" width="8" customWidth="1"/>
    <col min="27" max="27" width="8.28515625" customWidth="1"/>
    <col min="28" max="28" width="8" customWidth="1"/>
    <col min="29" max="29" width="9.28515625" customWidth="1"/>
    <col min="30" max="30" width="12.85546875" customWidth="1"/>
    <col min="31" max="31" width="12.7109375" customWidth="1"/>
    <col min="32" max="32" width="9.140625" customWidth="1"/>
    <col min="33" max="33" width="10.28515625" customWidth="1"/>
    <col min="34" max="34" width="14.28515625" customWidth="1"/>
    <col min="35" max="35" width="9.42578125" customWidth="1"/>
    <col min="36" max="36" width="12.42578125" customWidth="1"/>
    <col min="37" max="37" width="8.5703125" customWidth="1"/>
    <col min="38" max="38" width="11.28515625" customWidth="1"/>
    <col min="39" max="42" width="9.140625" customWidth="1"/>
  </cols>
  <sheetData>
    <row r="1" spans="1:42" ht="23.25" x14ac:dyDescent="0.35">
      <c r="A1" s="1235" t="s">
        <v>37</v>
      </c>
      <c r="B1" s="1233"/>
      <c r="C1" s="1233"/>
      <c r="D1" s="1233"/>
      <c r="E1" s="1233"/>
      <c r="F1" s="1220"/>
      <c r="G1" s="1232" t="s">
        <v>38</v>
      </c>
      <c r="H1" s="1220"/>
      <c r="I1" s="1232" t="s">
        <v>39</v>
      </c>
      <c r="J1" s="1233"/>
      <c r="K1" s="1234"/>
      <c r="L1" s="1219" t="s">
        <v>40</v>
      </c>
      <c r="M1" s="1233"/>
      <c r="N1" s="1234"/>
      <c r="O1" s="1219" t="s">
        <v>41</v>
      </c>
      <c r="P1" s="1220"/>
      <c r="Q1" s="1232" t="s">
        <v>42</v>
      </c>
      <c r="R1" s="1233"/>
      <c r="S1" s="1233"/>
      <c r="T1" s="1233"/>
      <c r="U1" s="1233"/>
      <c r="V1" s="1233"/>
      <c r="W1" s="1233"/>
      <c r="X1" s="1233"/>
      <c r="Y1" s="1233"/>
      <c r="Z1" s="1220"/>
      <c r="AA1" s="1232" t="s">
        <v>43</v>
      </c>
      <c r="AB1" s="1233"/>
      <c r="AC1" s="1234"/>
      <c r="AD1" s="1219" t="s">
        <v>44</v>
      </c>
      <c r="AE1" s="1220"/>
      <c r="AF1" s="1243" t="s">
        <v>45</v>
      </c>
      <c r="AG1" s="1234"/>
      <c r="AH1" s="43"/>
      <c r="AI1" s="43"/>
      <c r="AJ1" s="44"/>
      <c r="AK1" s="44"/>
      <c r="AL1" s="44"/>
      <c r="AM1" s="44"/>
      <c r="AN1" s="43"/>
      <c r="AO1" s="43"/>
      <c r="AP1" s="43"/>
    </row>
    <row r="2" spans="1:42" ht="15.75" x14ac:dyDescent="0.25">
      <c r="A2" s="48" t="s">
        <v>46</v>
      </c>
      <c r="B2" s="276" t="s">
        <v>47</v>
      </c>
      <c r="C2" s="277" t="s">
        <v>48</v>
      </c>
      <c r="D2" s="48" t="s">
        <v>46</v>
      </c>
      <c r="E2" s="49" t="s">
        <v>47</v>
      </c>
      <c r="F2" s="276" t="s">
        <v>49</v>
      </c>
      <c r="G2" s="278" t="s">
        <v>49</v>
      </c>
      <c r="H2" s="279" t="s">
        <v>46</v>
      </c>
      <c r="I2" s="280" t="s">
        <v>49</v>
      </c>
      <c r="J2" s="281" t="s">
        <v>47</v>
      </c>
      <c r="K2" s="276" t="s">
        <v>46</v>
      </c>
      <c r="L2" s="280" t="s">
        <v>50</v>
      </c>
      <c r="M2" s="282" t="s">
        <v>51</v>
      </c>
      <c r="N2" s="276" t="s">
        <v>52</v>
      </c>
      <c r="O2" s="280" t="s">
        <v>53</v>
      </c>
      <c r="P2" s="277" t="s">
        <v>50</v>
      </c>
      <c r="Q2" s="283" t="s">
        <v>54</v>
      </c>
      <c r="R2" s="276" t="s">
        <v>47</v>
      </c>
      <c r="S2" s="283" t="s">
        <v>55</v>
      </c>
      <c r="T2" s="276" t="s">
        <v>47</v>
      </c>
      <c r="U2" s="283" t="s">
        <v>148</v>
      </c>
      <c r="V2" s="276" t="s">
        <v>47</v>
      </c>
      <c r="W2" s="45" t="s">
        <v>149</v>
      </c>
      <c r="X2" s="284" t="s">
        <v>47</v>
      </c>
      <c r="Y2" s="285" t="s">
        <v>150</v>
      </c>
      <c r="Z2" s="276" t="s">
        <v>47</v>
      </c>
      <c r="AA2" s="283" t="s">
        <v>50</v>
      </c>
      <c r="AB2" s="49" t="s">
        <v>13</v>
      </c>
      <c r="AC2" s="276" t="s">
        <v>52</v>
      </c>
      <c r="AD2" s="286" t="s">
        <v>50</v>
      </c>
      <c r="AE2" s="287" t="s">
        <v>52</v>
      </c>
      <c r="AF2" s="286" t="s">
        <v>50</v>
      </c>
      <c r="AG2" s="288" t="s">
        <v>52</v>
      </c>
      <c r="AJ2" s="30"/>
      <c r="AK2" s="30"/>
      <c r="AL2" s="30"/>
      <c r="AM2" s="30"/>
    </row>
    <row r="3" spans="1:42" x14ac:dyDescent="0.25">
      <c r="A3" s="289">
        <v>1510.4</v>
      </c>
      <c r="B3" s="96">
        <v>43966</v>
      </c>
      <c r="C3" s="290"/>
      <c r="D3" s="70">
        <v>98</v>
      </c>
      <c r="E3" s="71">
        <v>43969</v>
      </c>
      <c r="F3" s="72"/>
      <c r="G3" s="73"/>
      <c r="H3" s="74">
        <v>8.4</v>
      </c>
      <c r="I3" s="86">
        <v>30</v>
      </c>
      <c r="J3" s="76">
        <v>43982</v>
      </c>
      <c r="K3" s="74"/>
      <c r="L3" s="291"/>
      <c r="M3" s="371" t="s">
        <v>151</v>
      </c>
      <c r="N3" s="372">
        <v>7.95</v>
      </c>
      <c r="O3" s="80">
        <f>AC27-AG6-AE3</f>
        <v>663.73999999999978</v>
      </c>
      <c r="P3" s="294">
        <v>0</v>
      </c>
      <c r="Q3" s="84">
        <v>50</v>
      </c>
      <c r="R3" s="83">
        <v>43969</v>
      </c>
      <c r="S3" s="84">
        <v>50</v>
      </c>
      <c r="T3" s="85">
        <v>43973</v>
      </c>
      <c r="U3" s="86">
        <v>50</v>
      </c>
      <c r="V3" s="85">
        <v>43969</v>
      </c>
      <c r="W3" s="295">
        <v>300</v>
      </c>
      <c r="X3" s="296"/>
      <c r="Y3" s="133"/>
      <c r="Z3" s="83"/>
      <c r="AA3" s="297"/>
      <c r="AB3" s="89" t="s">
        <v>60</v>
      </c>
      <c r="AC3" s="373">
        <v>250</v>
      </c>
      <c r="AD3" s="299">
        <v>0</v>
      </c>
      <c r="AE3" s="300">
        <v>125</v>
      </c>
      <c r="AF3" s="301">
        <f>AD6+AF6</f>
        <v>6012</v>
      </c>
      <c r="AG3" s="302">
        <f>AG6+AE6</f>
        <v>3197.46</v>
      </c>
      <c r="AJ3" s="30"/>
      <c r="AK3" s="30"/>
      <c r="AL3" s="30"/>
    </row>
    <row r="4" spans="1:42" ht="18.75" x14ac:dyDescent="0.25">
      <c r="A4" s="303">
        <v>1960.1</v>
      </c>
      <c r="B4" s="96">
        <v>43968</v>
      </c>
      <c r="C4" s="304"/>
      <c r="D4" s="98">
        <v>106.11</v>
      </c>
      <c r="E4" s="71">
        <v>43974</v>
      </c>
      <c r="F4" s="99"/>
      <c r="G4" s="100"/>
      <c r="H4" s="101">
        <v>6</v>
      </c>
      <c r="I4" s="102"/>
      <c r="J4" s="76"/>
      <c r="K4" s="101"/>
      <c r="L4" s="305"/>
      <c r="M4" s="374" t="s">
        <v>152</v>
      </c>
      <c r="N4" s="150">
        <v>129.30000000000001</v>
      </c>
      <c r="O4" s="1223" t="s">
        <v>61</v>
      </c>
      <c r="P4" s="1224"/>
      <c r="Q4" s="118">
        <v>50</v>
      </c>
      <c r="R4" s="83">
        <v>43973</v>
      </c>
      <c r="S4" s="118">
        <v>100</v>
      </c>
      <c r="T4" s="85">
        <v>43982</v>
      </c>
      <c r="U4" s="108">
        <v>30</v>
      </c>
      <c r="V4" s="85">
        <v>43972</v>
      </c>
      <c r="W4" s="308">
        <v>200</v>
      </c>
      <c r="X4" s="83"/>
      <c r="Y4" s="133"/>
      <c r="Z4" s="83"/>
      <c r="AA4" s="309"/>
      <c r="AB4" s="89">
        <v>43973</v>
      </c>
      <c r="AC4" s="329">
        <v>700</v>
      </c>
      <c r="AD4" s="1238" t="s">
        <v>63</v>
      </c>
      <c r="AE4" s="1245"/>
      <c r="AF4" s="1246" t="s">
        <v>64</v>
      </c>
      <c r="AG4" s="1237"/>
      <c r="AJ4" s="30"/>
      <c r="AK4" s="112"/>
      <c r="AL4" s="30"/>
    </row>
    <row r="5" spans="1:42" ht="15.75" x14ac:dyDescent="0.25">
      <c r="A5" s="303">
        <v>2541.5</v>
      </c>
      <c r="B5" s="96">
        <v>44001</v>
      </c>
      <c r="C5" s="304"/>
      <c r="D5" s="98">
        <v>101</v>
      </c>
      <c r="E5" s="71">
        <v>43980</v>
      </c>
      <c r="F5" s="99"/>
      <c r="G5" s="100"/>
      <c r="H5" s="101">
        <v>5.5</v>
      </c>
      <c r="I5" s="102"/>
      <c r="J5" s="76"/>
      <c r="K5" s="101"/>
      <c r="L5" s="311"/>
      <c r="M5" s="429" t="s">
        <v>153</v>
      </c>
      <c r="N5" s="430">
        <v>52.38</v>
      </c>
      <c r="O5" s="1225">
        <f>AD9</f>
        <v>150</v>
      </c>
      <c r="P5" s="1226"/>
      <c r="Q5" s="118">
        <v>15</v>
      </c>
      <c r="R5" s="83"/>
      <c r="S5" s="118">
        <v>20</v>
      </c>
      <c r="T5" s="85"/>
      <c r="U5" s="108">
        <v>90</v>
      </c>
      <c r="V5" s="85"/>
      <c r="W5" s="308">
        <v>250</v>
      </c>
      <c r="X5" s="83" t="s">
        <v>154</v>
      </c>
      <c r="Y5" s="133"/>
      <c r="Z5" s="83"/>
      <c r="AA5" s="309"/>
      <c r="AB5" s="89">
        <v>43978</v>
      </c>
      <c r="AC5" s="329">
        <v>1000</v>
      </c>
      <c r="AD5" s="119" t="s">
        <v>50</v>
      </c>
      <c r="AE5" s="313" t="s">
        <v>52</v>
      </c>
      <c r="AF5" s="121" t="s">
        <v>50</v>
      </c>
      <c r="AG5" s="122" t="s">
        <v>52</v>
      </c>
      <c r="AJ5" s="30"/>
      <c r="AK5" s="112"/>
      <c r="AL5" s="30"/>
    </row>
    <row r="6" spans="1:42" x14ac:dyDescent="0.25">
      <c r="A6" s="303"/>
      <c r="B6" s="96"/>
      <c r="C6" s="304"/>
      <c r="D6" s="98">
        <v>57</v>
      </c>
      <c r="E6" s="71">
        <v>43982</v>
      </c>
      <c r="F6" s="99"/>
      <c r="G6" s="100"/>
      <c r="H6" s="101">
        <v>5.5</v>
      </c>
      <c r="I6" s="102"/>
      <c r="J6" s="76"/>
      <c r="K6" s="101"/>
      <c r="L6" s="311"/>
      <c r="M6" s="330"/>
      <c r="N6" s="150"/>
      <c r="O6" s="314"/>
      <c r="P6" s="315"/>
      <c r="Q6" s="118">
        <v>35</v>
      </c>
      <c r="R6" s="83"/>
      <c r="S6" s="118">
        <v>-50</v>
      </c>
      <c r="T6" s="85">
        <v>43989</v>
      </c>
      <c r="U6" s="108">
        <v>10</v>
      </c>
      <c r="V6" s="85">
        <v>43978</v>
      </c>
      <c r="W6" s="308"/>
      <c r="X6" s="83"/>
      <c r="Y6" s="133"/>
      <c r="Z6" s="83"/>
      <c r="AA6" s="309"/>
      <c r="AB6" s="89" t="s">
        <v>61</v>
      </c>
      <c r="AC6" s="329">
        <v>150</v>
      </c>
      <c r="AD6" s="316">
        <f>A27+L27</f>
        <v>6012</v>
      </c>
      <c r="AE6" s="317">
        <f>D27+H27+K27+N27</f>
        <v>836.2</v>
      </c>
      <c r="AF6" s="128">
        <f>L27+C27</f>
        <v>0</v>
      </c>
      <c r="AG6" s="129">
        <f>F27+G27+I27+M27+Q27+S27+U27+W27+Y27</f>
        <v>2361.2600000000002</v>
      </c>
      <c r="AJ6" s="30"/>
      <c r="AK6" s="112"/>
      <c r="AL6" s="30"/>
    </row>
    <row r="7" spans="1:42" ht="18.75" x14ac:dyDescent="0.25">
      <c r="A7" s="303"/>
      <c r="B7" s="96"/>
      <c r="C7" s="304"/>
      <c r="D7" s="98">
        <v>50.01</v>
      </c>
      <c r="E7" s="71">
        <v>43983</v>
      </c>
      <c r="F7" s="99"/>
      <c r="G7" s="100"/>
      <c r="H7" s="101">
        <v>1.2</v>
      </c>
      <c r="I7" s="108"/>
      <c r="J7" s="76"/>
      <c r="K7" s="101"/>
      <c r="L7" s="311"/>
      <c r="M7" s="330"/>
      <c r="N7" s="150"/>
      <c r="O7" s="144"/>
      <c r="P7" s="145"/>
      <c r="Q7" s="118">
        <v>100</v>
      </c>
      <c r="R7" s="83">
        <v>43982</v>
      </c>
      <c r="S7" s="118">
        <v>50</v>
      </c>
      <c r="T7" s="85">
        <v>43990</v>
      </c>
      <c r="U7" s="108">
        <v>20</v>
      </c>
      <c r="V7" s="85"/>
      <c r="W7" s="308"/>
      <c r="X7" s="83"/>
      <c r="Y7" s="133"/>
      <c r="Z7" s="83"/>
      <c r="AA7" s="309"/>
      <c r="AB7" s="89">
        <v>43982</v>
      </c>
      <c r="AC7" s="329">
        <v>300</v>
      </c>
      <c r="AD7" s="320" t="s">
        <v>66</v>
      </c>
      <c r="AE7" s="321" t="s">
        <v>67</v>
      </c>
      <c r="AJ7" s="30"/>
      <c r="AK7" s="30"/>
      <c r="AL7" s="30"/>
    </row>
    <row r="8" spans="1:42" x14ac:dyDescent="0.25">
      <c r="A8" s="303"/>
      <c r="B8" s="96"/>
      <c r="C8" s="304"/>
      <c r="D8" s="98">
        <v>104.6</v>
      </c>
      <c r="E8" s="71">
        <v>43988</v>
      </c>
      <c r="F8" s="99"/>
      <c r="G8" s="100"/>
      <c r="H8" s="101">
        <v>3.7</v>
      </c>
      <c r="I8" s="108"/>
      <c r="J8" s="76"/>
      <c r="K8" s="101"/>
      <c r="L8" s="311"/>
      <c r="M8" s="330"/>
      <c r="N8" s="150"/>
      <c r="O8" s="133"/>
      <c r="P8" s="134"/>
      <c r="Q8" s="118">
        <v>20</v>
      </c>
      <c r="R8" s="83">
        <v>43988</v>
      </c>
      <c r="S8" s="118">
        <v>20</v>
      </c>
      <c r="T8" s="85">
        <v>43997</v>
      </c>
      <c r="U8" s="322">
        <v>32</v>
      </c>
      <c r="V8" s="323">
        <v>43980</v>
      </c>
      <c r="W8" s="324"/>
      <c r="X8" s="137"/>
      <c r="Y8" s="325"/>
      <c r="Z8" s="83"/>
      <c r="AA8" s="309"/>
      <c r="AB8" s="89">
        <v>43990</v>
      </c>
      <c r="AC8" s="329">
        <v>500</v>
      </c>
      <c r="AD8" s="326">
        <v>150</v>
      </c>
      <c r="AE8" s="327">
        <f>E27</f>
        <v>0</v>
      </c>
      <c r="AJ8" s="30"/>
      <c r="AK8" s="30"/>
      <c r="AL8" s="30"/>
    </row>
    <row r="9" spans="1:42" x14ac:dyDescent="0.25">
      <c r="A9" s="303"/>
      <c r="B9" s="76"/>
      <c r="C9" s="328"/>
      <c r="D9" s="98">
        <v>100</v>
      </c>
      <c r="E9" s="71">
        <v>43991</v>
      </c>
      <c r="F9" s="99"/>
      <c r="G9" s="100"/>
      <c r="H9" s="143">
        <v>8.8000000000000007</v>
      </c>
      <c r="I9" s="108"/>
      <c r="J9" s="76"/>
      <c r="K9" s="101"/>
      <c r="L9" s="311"/>
      <c r="M9" s="330"/>
      <c r="N9" s="150"/>
      <c r="O9" s="144"/>
      <c r="P9" s="145"/>
      <c r="Q9" s="118">
        <v>100</v>
      </c>
      <c r="R9" s="83">
        <v>43990</v>
      </c>
      <c r="S9" s="118">
        <v>45</v>
      </c>
      <c r="T9" s="85"/>
      <c r="U9" s="108">
        <v>70</v>
      </c>
      <c r="V9" s="85"/>
      <c r="W9" s="308"/>
      <c r="X9" s="83"/>
      <c r="Y9" s="133"/>
      <c r="Z9" s="83"/>
      <c r="AA9" s="309"/>
      <c r="AB9" s="89">
        <v>43998</v>
      </c>
      <c r="AC9" s="329">
        <v>400</v>
      </c>
      <c r="AD9" s="1244">
        <f>AD8-AE8</f>
        <v>150</v>
      </c>
      <c r="AE9" s="1222"/>
      <c r="AJ9" s="30"/>
      <c r="AK9" s="30"/>
      <c r="AL9" s="146"/>
    </row>
    <row r="10" spans="1:42" x14ac:dyDescent="0.25">
      <c r="A10" s="303"/>
      <c r="B10" s="76"/>
      <c r="C10" s="328"/>
      <c r="D10" s="98"/>
      <c r="E10" s="71">
        <v>43978</v>
      </c>
      <c r="F10" s="99">
        <v>50.01</v>
      </c>
      <c r="G10" s="100"/>
      <c r="H10" s="101">
        <v>8.4</v>
      </c>
      <c r="I10" s="108"/>
      <c r="J10" s="76"/>
      <c r="K10" s="101"/>
      <c r="L10" s="311"/>
      <c r="M10" s="330"/>
      <c r="N10" s="150"/>
      <c r="O10" s="144"/>
      <c r="P10" s="145"/>
      <c r="Q10" s="118">
        <v>50</v>
      </c>
      <c r="R10" s="83">
        <v>43994</v>
      </c>
      <c r="S10" s="118"/>
      <c r="T10" s="85"/>
      <c r="U10" s="108">
        <v>40</v>
      </c>
      <c r="V10" s="85"/>
      <c r="W10" s="308"/>
      <c r="X10" s="83"/>
      <c r="Y10" s="133"/>
      <c r="Z10" s="83"/>
      <c r="AA10" s="309"/>
      <c r="AB10" s="89"/>
      <c r="AC10" s="329"/>
      <c r="AJ10" s="30"/>
      <c r="AK10" s="30"/>
      <c r="AL10" s="30"/>
    </row>
    <row r="11" spans="1:42" x14ac:dyDescent="0.25">
      <c r="A11" s="303"/>
      <c r="B11" s="76"/>
      <c r="C11" s="328"/>
      <c r="D11" s="148">
        <v>108.7</v>
      </c>
      <c r="E11" s="71">
        <v>44000</v>
      </c>
      <c r="F11" s="149"/>
      <c r="G11" s="100"/>
      <c r="H11" s="101">
        <v>1.2</v>
      </c>
      <c r="I11" s="108"/>
      <c r="J11" s="76"/>
      <c r="K11" s="101"/>
      <c r="L11" s="311"/>
      <c r="M11" s="330"/>
      <c r="N11" s="150"/>
      <c r="O11" s="144"/>
      <c r="P11" s="145"/>
      <c r="Q11" s="118">
        <v>20</v>
      </c>
      <c r="R11" s="83">
        <v>43997</v>
      </c>
      <c r="S11" s="118"/>
      <c r="T11" s="85"/>
      <c r="U11" s="108">
        <v>60</v>
      </c>
      <c r="V11" s="85">
        <v>43990</v>
      </c>
      <c r="W11" s="308"/>
      <c r="X11" s="83"/>
      <c r="Y11" s="133"/>
      <c r="Z11" s="83"/>
      <c r="AA11" s="309"/>
      <c r="AB11" s="89"/>
      <c r="AC11" s="329"/>
      <c r="AJ11" s="30"/>
      <c r="AK11" s="30"/>
      <c r="AL11" s="30"/>
    </row>
    <row r="12" spans="1:42" x14ac:dyDescent="0.25">
      <c r="A12" s="303"/>
      <c r="B12" s="76"/>
      <c r="C12" s="328"/>
      <c r="D12" s="148"/>
      <c r="E12" s="71"/>
      <c r="F12" s="149"/>
      <c r="G12" s="100"/>
      <c r="H12" s="101">
        <v>6</v>
      </c>
      <c r="I12" s="108"/>
      <c r="J12" s="76"/>
      <c r="K12" s="101"/>
      <c r="L12" s="311"/>
      <c r="M12" s="330"/>
      <c r="N12" s="150"/>
      <c r="O12" s="144"/>
      <c r="P12" s="145"/>
      <c r="Q12" s="118">
        <v>45</v>
      </c>
      <c r="R12" s="83"/>
      <c r="S12" s="118"/>
      <c r="T12" s="85"/>
      <c r="U12" s="108">
        <v>52</v>
      </c>
      <c r="V12" s="85">
        <v>43995</v>
      </c>
      <c r="W12" s="308"/>
      <c r="X12" s="83"/>
      <c r="Y12" s="133"/>
      <c r="Z12" s="83"/>
      <c r="AA12" s="309"/>
      <c r="AB12" s="89"/>
      <c r="AC12" s="329"/>
      <c r="AJ12" s="30"/>
      <c r="AK12" s="30"/>
      <c r="AL12" s="30"/>
    </row>
    <row r="13" spans="1:42" x14ac:dyDescent="0.25">
      <c r="A13" s="303"/>
      <c r="B13" s="76"/>
      <c r="C13" s="328"/>
      <c r="D13" s="152"/>
      <c r="E13" s="71"/>
      <c r="F13" s="149"/>
      <c r="G13" s="100"/>
      <c r="H13" s="101">
        <v>3.7</v>
      </c>
      <c r="I13" s="108"/>
      <c r="J13" s="76"/>
      <c r="K13" s="101"/>
      <c r="L13" s="311"/>
      <c r="M13" s="330"/>
      <c r="N13" s="150"/>
      <c r="O13" s="144"/>
      <c r="P13" s="145"/>
      <c r="Q13" s="118">
        <v>50</v>
      </c>
      <c r="R13" s="83">
        <v>43998</v>
      </c>
      <c r="S13" s="118"/>
      <c r="T13" s="85"/>
      <c r="U13" s="108">
        <v>50</v>
      </c>
      <c r="V13" s="85">
        <v>43995</v>
      </c>
      <c r="W13" s="308"/>
      <c r="X13" s="83"/>
      <c r="Y13" s="133"/>
      <c r="Z13" s="83"/>
      <c r="AA13" s="309"/>
      <c r="AB13" s="89"/>
      <c r="AC13" s="329"/>
      <c r="AD13" s="30"/>
      <c r="AE13" s="30"/>
      <c r="AF13" s="30"/>
      <c r="AG13" s="30"/>
      <c r="AI13" s="30"/>
      <c r="AJ13" s="30"/>
      <c r="AK13" s="30"/>
      <c r="AL13" s="30"/>
    </row>
    <row r="14" spans="1:42" x14ac:dyDescent="0.25">
      <c r="A14" s="303"/>
      <c r="B14" s="76"/>
      <c r="C14" s="328"/>
      <c r="D14" s="148"/>
      <c r="E14" s="71"/>
      <c r="F14" s="149"/>
      <c r="G14" s="100"/>
      <c r="H14" s="101"/>
      <c r="I14" s="108"/>
      <c r="J14" s="76"/>
      <c r="K14" s="101"/>
      <c r="L14" s="311"/>
      <c r="M14" s="330"/>
      <c r="N14" s="150"/>
      <c r="O14" s="144"/>
      <c r="P14" s="145"/>
      <c r="Q14" s="118">
        <v>20</v>
      </c>
      <c r="R14" s="83">
        <v>44000</v>
      </c>
      <c r="S14" s="118"/>
      <c r="T14" s="85"/>
      <c r="U14" s="108">
        <v>20</v>
      </c>
      <c r="V14" s="85">
        <v>43998</v>
      </c>
      <c r="W14" s="308"/>
      <c r="X14" s="83"/>
      <c r="Y14" s="133"/>
      <c r="Z14" s="83"/>
      <c r="AA14" s="309"/>
      <c r="AB14" s="89"/>
      <c r="AC14" s="329"/>
      <c r="AD14" s="30"/>
      <c r="AE14" s="30"/>
      <c r="AF14" s="30"/>
      <c r="AG14" s="30"/>
      <c r="AI14" s="30"/>
    </row>
    <row r="15" spans="1:42" x14ac:dyDescent="0.25">
      <c r="A15" s="303"/>
      <c r="B15" s="76"/>
      <c r="C15" s="328"/>
      <c r="D15" s="148"/>
      <c r="E15" s="71"/>
      <c r="F15" s="149"/>
      <c r="G15" s="100"/>
      <c r="H15" s="101"/>
      <c r="I15" s="108"/>
      <c r="J15" s="76"/>
      <c r="K15" s="101"/>
      <c r="L15" s="311"/>
      <c r="M15" s="330"/>
      <c r="N15" s="150"/>
      <c r="O15" s="144"/>
      <c r="P15" s="145"/>
      <c r="Q15" s="118"/>
      <c r="R15" s="83"/>
      <c r="S15" s="118"/>
      <c r="T15" s="85"/>
      <c r="U15" s="108">
        <v>10</v>
      </c>
      <c r="V15" s="85"/>
      <c r="W15" s="308"/>
      <c r="X15" s="83"/>
      <c r="Y15" s="133"/>
      <c r="Z15" s="83"/>
      <c r="AA15" s="309"/>
      <c r="AB15" s="89"/>
      <c r="AC15" s="329"/>
      <c r="AD15" s="30"/>
      <c r="AE15" s="30"/>
      <c r="AF15" s="30"/>
      <c r="AG15" s="30"/>
      <c r="AI15" s="30"/>
    </row>
    <row r="16" spans="1:42" x14ac:dyDescent="0.25">
      <c r="A16" s="303"/>
      <c r="B16" s="76"/>
      <c r="C16" s="328"/>
      <c r="D16" s="148"/>
      <c r="E16" s="71"/>
      <c r="F16" s="149"/>
      <c r="G16" s="100"/>
      <c r="H16" s="101"/>
      <c r="I16" s="108"/>
      <c r="J16" s="76"/>
      <c r="K16" s="101"/>
      <c r="L16" s="311"/>
      <c r="M16" s="330"/>
      <c r="N16" s="150"/>
      <c r="O16" s="144"/>
      <c r="P16" s="145"/>
      <c r="Q16" s="118"/>
      <c r="R16" s="83"/>
      <c r="S16" s="118"/>
      <c r="T16" s="85"/>
      <c r="U16" s="108">
        <v>20</v>
      </c>
      <c r="V16" s="85">
        <v>43999</v>
      </c>
      <c r="W16" s="308"/>
      <c r="X16" s="83"/>
      <c r="Y16" s="133"/>
      <c r="Z16" s="83"/>
      <c r="AA16" s="309"/>
      <c r="AB16" s="89"/>
      <c r="AC16" s="329"/>
      <c r="AD16" s="30"/>
      <c r="AE16" s="30"/>
      <c r="AF16" s="30"/>
      <c r="AG16" s="30"/>
      <c r="AI16" s="30"/>
    </row>
    <row r="17" spans="1:39" x14ac:dyDescent="0.25">
      <c r="A17" s="303"/>
      <c r="B17" s="76"/>
      <c r="C17" s="328"/>
      <c r="D17" s="148"/>
      <c r="E17" s="71"/>
      <c r="F17" s="149"/>
      <c r="G17" s="100"/>
      <c r="H17" s="101"/>
      <c r="I17" s="108"/>
      <c r="J17" s="76"/>
      <c r="K17" s="101"/>
      <c r="L17" s="311"/>
      <c r="M17" s="330"/>
      <c r="N17" s="150"/>
      <c r="O17" s="144"/>
      <c r="P17" s="145"/>
      <c r="Q17" s="118"/>
      <c r="R17" s="83"/>
      <c r="S17" s="118"/>
      <c r="T17" s="85"/>
      <c r="U17" s="108">
        <v>50</v>
      </c>
      <c r="V17" s="85">
        <v>43999</v>
      </c>
      <c r="W17" s="308"/>
      <c r="X17" s="83"/>
      <c r="Y17" s="133"/>
      <c r="Z17" s="83"/>
      <c r="AA17" s="309"/>
      <c r="AB17" s="89"/>
      <c r="AC17" s="329"/>
      <c r="AD17" s="30"/>
      <c r="AE17" s="30"/>
      <c r="AF17" s="30"/>
      <c r="AG17" s="30"/>
      <c r="AI17" s="30"/>
    </row>
    <row r="18" spans="1:39" x14ac:dyDescent="0.25">
      <c r="A18" s="303"/>
      <c r="B18" s="76"/>
      <c r="C18" s="328"/>
      <c r="D18" s="148"/>
      <c r="E18" s="71"/>
      <c r="F18" s="149"/>
      <c r="G18" s="100"/>
      <c r="H18" s="101"/>
      <c r="I18" s="108"/>
      <c r="J18" s="76"/>
      <c r="K18" s="101"/>
      <c r="L18" s="311"/>
      <c r="M18" s="330"/>
      <c r="N18" s="329"/>
      <c r="O18" s="144"/>
      <c r="P18" s="145"/>
      <c r="Q18" s="118"/>
      <c r="R18" s="83"/>
      <c r="S18" s="118"/>
      <c r="T18" s="85"/>
      <c r="U18" s="108"/>
      <c r="V18" s="85"/>
      <c r="W18" s="308"/>
      <c r="X18" s="83"/>
      <c r="Y18" s="133"/>
      <c r="Z18" s="83"/>
      <c r="AA18" s="309"/>
      <c r="AB18" s="89"/>
      <c r="AC18" s="329"/>
      <c r="AD18" s="30"/>
      <c r="AE18" s="30"/>
      <c r="AF18" s="30"/>
      <c r="AG18" s="30"/>
      <c r="AI18" s="30"/>
    </row>
    <row r="19" spans="1:39" x14ac:dyDescent="0.25">
      <c r="A19" s="303"/>
      <c r="B19" s="76"/>
      <c r="C19" s="328"/>
      <c r="D19" s="148"/>
      <c r="E19" s="71"/>
      <c r="F19" s="149"/>
      <c r="G19" s="100"/>
      <c r="H19" s="101"/>
      <c r="I19" s="108"/>
      <c r="J19" s="76"/>
      <c r="K19" s="101"/>
      <c r="L19" s="311"/>
      <c r="M19" s="330"/>
      <c r="N19" s="329"/>
      <c r="O19" s="144"/>
      <c r="P19" s="145"/>
      <c r="Q19" s="118"/>
      <c r="R19" s="83"/>
      <c r="S19" s="118"/>
      <c r="T19" s="85"/>
      <c r="U19" s="108"/>
      <c r="V19" s="85"/>
      <c r="W19" s="308"/>
      <c r="X19" s="83"/>
      <c r="Y19" s="133"/>
      <c r="Z19" s="83"/>
      <c r="AA19" s="309"/>
      <c r="AB19" s="89"/>
      <c r="AC19" s="329"/>
      <c r="AD19" s="30"/>
      <c r="AE19" s="30"/>
      <c r="AF19" s="30"/>
      <c r="AG19" s="30"/>
      <c r="AI19" s="30"/>
    </row>
    <row r="20" spans="1:39" x14ac:dyDescent="0.25">
      <c r="A20" s="303"/>
      <c r="B20" s="76"/>
      <c r="C20" s="328"/>
      <c r="D20" s="148"/>
      <c r="E20" s="71"/>
      <c r="F20" s="149"/>
      <c r="G20" s="100"/>
      <c r="H20" s="101"/>
      <c r="I20" s="108"/>
      <c r="J20" s="76"/>
      <c r="K20" s="101"/>
      <c r="L20" s="311"/>
      <c r="M20" s="116"/>
      <c r="N20" s="329"/>
      <c r="O20" s="144"/>
      <c r="P20" s="145"/>
      <c r="Q20" s="118"/>
      <c r="R20" s="83"/>
      <c r="S20" s="118"/>
      <c r="T20" s="85"/>
      <c r="U20" s="108"/>
      <c r="V20" s="85"/>
      <c r="W20" s="308"/>
      <c r="X20" s="83"/>
      <c r="Y20" s="133"/>
      <c r="Z20" s="83"/>
      <c r="AA20" s="309"/>
      <c r="AB20" s="89"/>
      <c r="AC20" s="329"/>
      <c r="AD20" s="30"/>
      <c r="AE20" s="30"/>
      <c r="AF20" s="30"/>
      <c r="AG20" s="30"/>
      <c r="AI20" s="30"/>
    </row>
    <row r="21" spans="1:39" ht="15.75" customHeight="1" x14ac:dyDescent="0.25">
      <c r="A21" s="303"/>
      <c r="B21" s="76"/>
      <c r="C21" s="328"/>
      <c r="D21" s="148"/>
      <c r="E21" s="71"/>
      <c r="F21" s="149"/>
      <c r="G21" s="100"/>
      <c r="H21" s="101"/>
      <c r="I21" s="108"/>
      <c r="J21" s="76"/>
      <c r="K21" s="101"/>
      <c r="L21" s="311"/>
      <c r="M21" s="116"/>
      <c r="N21" s="329"/>
      <c r="O21" s="144"/>
      <c r="P21" s="145"/>
      <c r="Q21" s="118"/>
      <c r="R21" s="83"/>
      <c r="S21" s="118"/>
      <c r="T21" s="85"/>
      <c r="U21" s="108"/>
      <c r="V21" s="85"/>
      <c r="W21" s="308"/>
      <c r="X21" s="83"/>
      <c r="Y21" s="133"/>
      <c r="Z21" s="83"/>
      <c r="AA21" s="309"/>
      <c r="AB21" s="89"/>
      <c r="AC21" s="329"/>
      <c r="AD21" s="30"/>
      <c r="AE21" s="30"/>
      <c r="AF21" s="30"/>
      <c r="AG21" s="30"/>
      <c r="AI21" s="30"/>
    </row>
    <row r="22" spans="1:39" ht="15.75" customHeight="1" x14ac:dyDescent="0.25">
      <c r="A22" s="303"/>
      <c r="B22" s="76"/>
      <c r="C22" s="328"/>
      <c r="D22" s="148"/>
      <c r="E22" s="71"/>
      <c r="F22" s="149"/>
      <c r="G22" s="100"/>
      <c r="H22" s="101"/>
      <c r="I22" s="108"/>
      <c r="J22" s="76"/>
      <c r="K22" s="101"/>
      <c r="L22" s="311"/>
      <c r="M22" s="116"/>
      <c r="N22" s="329"/>
      <c r="O22" s="144"/>
      <c r="P22" s="145"/>
      <c r="Q22" s="118"/>
      <c r="R22" s="83"/>
      <c r="S22" s="118"/>
      <c r="T22" s="85"/>
      <c r="U22" s="108"/>
      <c r="V22" s="85"/>
      <c r="W22" s="308"/>
      <c r="X22" s="83"/>
      <c r="Y22" s="133"/>
      <c r="Z22" s="83"/>
      <c r="AA22" s="309"/>
      <c r="AB22" s="89"/>
      <c r="AC22" s="329"/>
      <c r="AD22" s="30"/>
      <c r="AE22" s="30"/>
      <c r="AF22" s="30"/>
      <c r="AG22" s="30"/>
      <c r="AI22" s="30"/>
    </row>
    <row r="23" spans="1:39" ht="15.75" customHeight="1" x14ac:dyDescent="0.25">
      <c r="A23" s="303"/>
      <c r="B23" s="76"/>
      <c r="C23" s="328"/>
      <c r="D23" s="148"/>
      <c r="E23" s="71"/>
      <c r="F23" s="149"/>
      <c r="G23" s="100"/>
      <c r="H23" s="101"/>
      <c r="I23" s="108"/>
      <c r="J23" s="76"/>
      <c r="K23" s="101"/>
      <c r="L23" s="311"/>
      <c r="M23" s="116"/>
      <c r="N23" s="329"/>
      <c r="O23" s="144"/>
      <c r="P23" s="145"/>
      <c r="Q23" s="118"/>
      <c r="R23" s="83"/>
      <c r="S23" s="118"/>
      <c r="T23" s="85"/>
      <c r="U23" s="108"/>
      <c r="V23" s="85"/>
      <c r="W23" s="308"/>
      <c r="X23" s="83"/>
      <c r="Y23" s="133"/>
      <c r="Z23" s="83"/>
      <c r="AA23" s="309"/>
      <c r="AB23" s="89"/>
      <c r="AC23" s="329"/>
      <c r="AD23" s="30"/>
      <c r="AE23" s="30"/>
      <c r="AF23" s="30"/>
      <c r="AG23" s="30"/>
      <c r="AI23" s="30"/>
    </row>
    <row r="24" spans="1:39" ht="15.75" customHeight="1" x14ac:dyDescent="0.25">
      <c r="A24" s="303"/>
      <c r="B24" s="76"/>
      <c r="C24" s="328"/>
      <c r="D24" s="148"/>
      <c r="E24" s="71"/>
      <c r="F24" s="149"/>
      <c r="G24" s="100"/>
      <c r="H24" s="101"/>
      <c r="I24" s="108"/>
      <c r="J24" s="76"/>
      <c r="K24" s="101"/>
      <c r="L24" s="311"/>
      <c r="M24" s="116"/>
      <c r="N24" s="329"/>
      <c r="O24" s="144"/>
      <c r="P24" s="145"/>
      <c r="Q24" s="118"/>
      <c r="R24" s="83"/>
      <c r="S24" s="118"/>
      <c r="T24" s="85"/>
      <c r="U24" s="108"/>
      <c r="V24" s="85"/>
      <c r="W24" s="308"/>
      <c r="X24" s="83"/>
      <c r="Y24" s="133"/>
      <c r="Z24" s="83"/>
      <c r="AA24" s="309"/>
      <c r="AB24" s="89"/>
      <c r="AC24" s="329"/>
      <c r="AD24" s="30"/>
      <c r="AE24" s="30"/>
      <c r="AF24" s="30"/>
      <c r="AG24" s="30"/>
      <c r="AI24" s="30"/>
    </row>
    <row r="25" spans="1:39" ht="15.75" customHeight="1" x14ac:dyDescent="0.25">
      <c r="A25" s="331"/>
      <c r="B25" s="159"/>
      <c r="C25" s="332"/>
      <c r="D25" s="161"/>
      <c r="E25" s="333"/>
      <c r="F25" s="163"/>
      <c r="G25" s="164"/>
      <c r="H25" s="117"/>
      <c r="I25" s="334"/>
      <c r="J25" s="159"/>
      <c r="K25" s="117"/>
      <c r="L25" s="335"/>
      <c r="M25" s="336"/>
      <c r="N25" s="337"/>
      <c r="O25" s="169"/>
      <c r="P25" s="170"/>
      <c r="Q25" s="172"/>
      <c r="R25" s="338"/>
      <c r="S25" s="172"/>
      <c r="T25" s="39"/>
      <c r="U25" s="334"/>
      <c r="V25" s="39"/>
      <c r="W25" s="339"/>
      <c r="X25" s="173"/>
      <c r="Y25" s="340"/>
      <c r="Z25" s="173"/>
      <c r="AA25" s="341"/>
      <c r="AB25" s="176"/>
      <c r="AC25" s="342"/>
      <c r="AD25" s="30"/>
      <c r="AE25" s="30"/>
      <c r="AF25" s="30"/>
      <c r="AG25" s="30"/>
      <c r="AI25" s="30"/>
    </row>
    <row r="26" spans="1:39" ht="15.75" customHeight="1" x14ac:dyDescent="0.25">
      <c r="A26" s="1249" t="s">
        <v>102</v>
      </c>
      <c r="B26" s="1250"/>
      <c r="C26" s="1251"/>
      <c r="D26" s="343" t="s">
        <v>103</v>
      </c>
      <c r="E26" s="343" t="s">
        <v>61</v>
      </c>
      <c r="F26" s="344" t="s">
        <v>103</v>
      </c>
      <c r="G26" s="1252" t="s">
        <v>103</v>
      </c>
      <c r="H26" s="1251"/>
      <c r="I26" s="1252" t="s">
        <v>102</v>
      </c>
      <c r="J26" s="1250"/>
      <c r="K26" s="1251"/>
      <c r="L26" s="1253" t="s">
        <v>102</v>
      </c>
      <c r="M26" s="1250"/>
      <c r="N26" s="1251"/>
      <c r="O26" s="1252" t="s">
        <v>104</v>
      </c>
      <c r="P26" s="1251"/>
      <c r="Q26" s="1252" t="s">
        <v>104</v>
      </c>
      <c r="R26" s="1251"/>
      <c r="S26" s="1252" t="s">
        <v>104</v>
      </c>
      <c r="T26" s="1251"/>
      <c r="U26" s="1252" t="s">
        <v>104</v>
      </c>
      <c r="V26" s="1251"/>
      <c r="W26" s="1254" t="s">
        <v>102</v>
      </c>
      <c r="X26" s="1255"/>
      <c r="Y26" s="1256" t="s">
        <v>102</v>
      </c>
      <c r="Z26" s="1255"/>
      <c r="AA26" s="1240" t="s">
        <v>102</v>
      </c>
      <c r="AB26" s="1241"/>
      <c r="AC26" s="1242"/>
      <c r="AE26" s="30"/>
      <c r="AF26" s="30"/>
      <c r="AG26" s="30"/>
      <c r="AI26" s="30"/>
    </row>
    <row r="27" spans="1:39" ht="15.75" customHeight="1" x14ac:dyDescent="0.25">
      <c r="A27" s="345">
        <f>SUM(A3:A25)</f>
        <v>6012</v>
      </c>
      <c r="B27" s="346"/>
      <c r="C27" s="196">
        <f t="shared" ref="C27:D27" si="0">SUM(C3:C25)</f>
        <v>0</v>
      </c>
      <c r="D27" s="197">
        <f t="shared" si="0"/>
        <v>725.42000000000007</v>
      </c>
      <c r="E27" s="203">
        <v>0</v>
      </c>
      <c r="F27" s="347">
        <f t="shared" ref="F27:I27" si="1">SUM(F3:F25)</f>
        <v>50.01</v>
      </c>
      <c r="G27" s="197">
        <f t="shared" si="1"/>
        <v>0</v>
      </c>
      <c r="H27" s="199">
        <f t="shared" si="1"/>
        <v>58.4</v>
      </c>
      <c r="I27" s="197">
        <f t="shared" si="1"/>
        <v>30</v>
      </c>
      <c r="J27" s="348"/>
      <c r="K27" s="349">
        <f t="shared" ref="K27:L27" si="2">SUM(K3:K25)</f>
        <v>0</v>
      </c>
      <c r="L27" s="350">
        <f t="shared" si="2"/>
        <v>0</v>
      </c>
      <c r="M27" s="424">
        <f>N3+N4</f>
        <v>137.25</v>
      </c>
      <c r="N27" s="431">
        <f>N5+N8+N9+N10+N11+N12</f>
        <v>52.38</v>
      </c>
      <c r="O27" s="353">
        <f>O3+O5</f>
        <v>813.73999999999978</v>
      </c>
      <c r="P27" s="354">
        <f>P3</f>
        <v>0</v>
      </c>
      <c r="Q27" s="203">
        <f>SUM(Q3:Q25)</f>
        <v>555</v>
      </c>
      <c r="R27" s="355">
        <v>1300</v>
      </c>
      <c r="S27" s="203">
        <f>SUM(S3:S25)</f>
        <v>235</v>
      </c>
      <c r="T27" s="356">
        <v>580</v>
      </c>
      <c r="U27" s="357">
        <f>SUM(U3:U25)</f>
        <v>604</v>
      </c>
      <c r="V27" s="356">
        <v>540</v>
      </c>
      <c r="W27" s="1247">
        <f>SUM(W3:W25)</f>
        <v>750</v>
      </c>
      <c r="X27" s="1248"/>
      <c r="Y27" s="1247">
        <f>SUM(Y3:Y25)</f>
        <v>0</v>
      </c>
      <c r="Z27" s="1248"/>
      <c r="AA27" s="358">
        <f>SUM(AA3:AA25)</f>
        <v>0</v>
      </c>
      <c r="AB27" s="359"/>
      <c r="AC27" s="360">
        <f>SUM(AC3:AC5)+AC7+AC8+AC9</f>
        <v>3150</v>
      </c>
      <c r="AE27" s="30"/>
      <c r="AF27" s="30"/>
      <c r="AG27" s="30"/>
      <c r="AI27" s="30"/>
    </row>
    <row r="28" spans="1:39" ht="15.75" customHeight="1" x14ac:dyDescent="0.25">
      <c r="V28">
        <v>920</v>
      </c>
      <c r="AE28" s="30"/>
      <c r="AF28" s="30"/>
      <c r="AG28" s="30"/>
      <c r="AI28" s="30"/>
    </row>
    <row r="29" spans="1:39" ht="15.75" customHeight="1" x14ac:dyDescent="0.25">
      <c r="AE29" s="30"/>
      <c r="AF29" s="30"/>
      <c r="AG29" s="30"/>
      <c r="AI29" s="30"/>
    </row>
    <row r="30" spans="1:39" ht="15.75" customHeight="1" x14ac:dyDescent="0.25">
      <c r="E30" s="30"/>
      <c r="F30" s="30"/>
      <c r="G30" s="30"/>
      <c r="M30" s="30"/>
      <c r="P30" s="30"/>
      <c r="R30" s="30"/>
      <c r="T30" s="30"/>
      <c r="U30" s="30"/>
      <c r="AF30" s="30"/>
      <c r="AG30" s="30"/>
      <c r="AI30" s="30"/>
      <c r="AJ30" s="30"/>
      <c r="AK30" s="30"/>
      <c r="AM30" s="30"/>
    </row>
    <row r="31" spans="1:39" ht="15.75" customHeight="1" x14ac:dyDescent="0.25">
      <c r="E31" s="30"/>
      <c r="F31" s="30"/>
      <c r="G31" s="30"/>
      <c r="J31" s="30"/>
      <c r="K31" s="30"/>
      <c r="L31" s="30"/>
      <c r="M31" s="30"/>
      <c r="P31" s="30"/>
      <c r="R31" s="30"/>
      <c r="T31" s="30"/>
      <c r="U31" s="361"/>
      <c r="AF31" s="30"/>
      <c r="AG31" s="30"/>
      <c r="AI31" s="30"/>
      <c r="AJ31" s="30"/>
      <c r="AK31" s="30"/>
      <c r="AM31" s="30"/>
    </row>
    <row r="32" spans="1:39" ht="15.75" customHeight="1" x14ac:dyDescent="0.25">
      <c r="E32" s="30"/>
      <c r="F32" s="30"/>
      <c r="G32" s="30"/>
      <c r="J32" s="30"/>
      <c r="K32" s="30"/>
      <c r="L32" s="30"/>
      <c r="M32" s="30"/>
      <c r="P32" s="30"/>
      <c r="R32" s="30"/>
      <c r="T32" s="30"/>
      <c r="U32" s="30"/>
      <c r="AF32" s="30"/>
      <c r="AG32" s="30"/>
      <c r="AI32" s="30"/>
      <c r="AJ32" s="30"/>
      <c r="AK32" s="30"/>
      <c r="AM32" s="30"/>
    </row>
    <row r="33" spans="5:39" ht="15.75" customHeight="1" x14ac:dyDescent="0.25">
      <c r="E33" s="30"/>
      <c r="F33" s="30"/>
      <c r="G33" s="30"/>
      <c r="J33" s="30"/>
      <c r="K33" s="30"/>
      <c r="L33" s="30"/>
      <c r="M33" s="30"/>
      <c r="P33" s="30"/>
      <c r="Q33" s="30"/>
      <c r="R33" s="30"/>
      <c r="T33" s="30"/>
      <c r="U33" s="30"/>
      <c r="AF33" s="30"/>
      <c r="AG33" s="30"/>
      <c r="AI33" s="30"/>
      <c r="AJ33" s="30"/>
      <c r="AK33" s="30"/>
      <c r="AM33" s="30"/>
    </row>
    <row r="34" spans="5:39" ht="15.75" customHeight="1" x14ac:dyDescent="0.25">
      <c r="E34" s="30"/>
      <c r="F34" s="30"/>
      <c r="G34" s="30"/>
      <c r="J34" s="30"/>
      <c r="K34" s="30"/>
      <c r="L34" s="30"/>
      <c r="M34" s="30"/>
      <c r="P34" s="30"/>
      <c r="Q34" s="30"/>
      <c r="R34" s="30"/>
      <c r="T34" s="30"/>
      <c r="U34" s="30"/>
      <c r="AF34" s="30"/>
      <c r="AG34" s="30"/>
      <c r="AI34" s="30"/>
      <c r="AJ34" s="30"/>
      <c r="AK34" s="30"/>
      <c r="AM34" s="30"/>
    </row>
    <row r="35" spans="5:39" ht="15.75" customHeight="1" x14ac:dyDescent="0.25">
      <c r="E35" s="30"/>
      <c r="F35" s="30"/>
      <c r="G35" s="30"/>
      <c r="J35" s="30"/>
      <c r="K35" s="30"/>
      <c r="L35" s="30"/>
      <c r="M35" s="30"/>
      <c r="P35" s="30"/>
      <c r="Q35" s="30"/>
      <c r="R35" s="30"/>
      <c r="T35" s="30"/>
      <c r="U35" s="30"/>
      <c r="AF35" s="30"/>
      <c r="AG35" s="30"/>
      <c r="AI35" s="30"/>
      <c r="AJ35" s="30"/>
      <c r="AK35" s="30"/>
      <c r="AM35" s="30"/>
    </row>
    <row r="36" spans="5:39" ht="15.75" customHeight="1" x14ac:dyDescent="0.25">
      <c r="Q36" s="30"/>
    </row>
    <row r="37" spans="5:39" ht="15.75" customHeight="1" x14ac:dyDescent="0.25">
      <c r="Q37" s="30"/>
    </row>
    <row r="38" spans="5:39" ht="15.75" customHeight="1" x14ac:dyDescent="0.25"/>
    <row r="39" spans="5:39" ht="15.75" customHeight="1" x14ac:dyDescent="0.25"/>
    <row r="40" spans="5:39" ht="15.75" customHeight="1" x14ac:dyDescent="0.25"/>
    <row r="41" spans="5:39" ht="15.75" customHeight="1" x14ac:dyDescent="0.25"/>
    <row r="42" spans="5:39" ht="15.75" customHeight="1" x14ac:dyDescent="0.25"/>
    <row r="43" spans="5:39" ht="15.75" customHeight="1" x14ac:dyDescent="0.25"/>
    <row r="44" spans="5:39" ht="15.75" customHeight="1" x14ac:dyDescent="0.25"/>
    <row r="45" spans="5:39" ht="15.75" customHeight="1" x14ac:dyDescent="0.25"/>
    <row r="46" spans="5:39" ht="15.75" customHeight="1" x14ac:dyDescent="0.25"/>
    <row r="47" spans="5:39" ht="15.75" customHeight="1" x14ac:dyDescent="0.25"/>
    <row r="48" spans="5:3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</sheetData>
  <mergeCells count="27">
    <mergeCell ref="O4:P4"/>
    <mergeCell ref="W26:X26"/>
    <mergeCell ref="Y26:Z26"/>
    <mergeCell ref="AA26:AC26"/>
    <mergeCell ref="AD9:AE9"/>
    <mergeCell ref="AD4:AE4"/>
    <mergeCell ref="O26:P26"/>
    <mergeCell ref="Q26:R26"/>
    <mergeCell ref="S26:T26"/>
    <mergeCell ref="U26:V26"/>
    <mergeCell ref="W27:X27"/>
    <mergeCell ref="Y27:Z27"/>
    <mergeCell ref="O5:P5"/>
    <mergeCell ref="A26:C26"/>
    <mergeCell ref="G26:H26"/>
    <mergeCell ref="I26:K26"/>
    <mergeCell ref="L26:N26"/>
    <mergeCell ref="AA1:AC1"/>
    <mergeCell ref="AD1:AE1"/>
    <mergeCell ref="AF1:AG1"/>
    <mergeCell ref="Q1:Z1"/>
    <mergeCell ref="AF4:AG4"/>
    <mergeCell ref="A1:F1"/>
    <mergeCell ref="G1:H1"/>
    <mergeCell ref="I1:K1"/>
    <mergeCell ref="L1:N1"/>
    <mergeCell ref="O1:P1"/>
  </mergeCells>
  <pageMargins left="0.7" right="0.7" top="0.75" bottom="0.75" header="0" footer="0"/>
  <pageSetup orientation="landscape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C486CB-6A90-CE43-8F91-343BEB1AD407}">
  <dimension ref="A1:AK52"/>
  <sheetViews>
    <sheetView topLeftCell="M25" zoomScaleNormal="60" zoomScaleSheetLayoutView="100" workbookViewId="0">
      <selection activeCell="J24" sqref="J24:J26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9.5703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9.42578125" customWidth="1"/>
    <col min="18" max="18" width="10.5703125" bestFit="1" customWidth="1"/>
    <col min="19" max="19" width="9.42578125" bestFit="1" customWidth="1"/>
    <col min="20" max="20" width="10.28515625" bestFit="1" customWidth="1"/>
    <col min="21" max="21" width="8.42578125" bestFit="1" customWidth="1"/>
    <col min="22" max="22" width="10.28515625" bestFit="1" customWidth="1"/>
    <col min="23" max="26" width="10.28515625" customWidth="1"/>
    <col min="27" max="27" width="12.7109375" customWidth="1"/>
    <col min="28" max="28" width="10.28515625" bestFit="1" customWidth="1"/>
    <col min="29" max="29" width="9.140625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42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19.5" thickBot="1" x14ac:dyDescent="0.3">
      <c r="A2" s="699" t="s">
        <v>46</v>
      </c>
      <c r="B2" s="700" t="s">
        <v>47</v>
      </c>
      <c r="C2" s="701" t="s">
        <v>48</v>
      </c>
      <c r="D2" s="702" t="s">
        <v>379</v>
      </c>
      <c r="E2" s="700" t="s">
        <v>380</v>
      </c>
      <c r="F2" s="703" t="s">
        <v>49</v>
      </c>
      <c r="G2" s="700" t="s">
        <v>381</v>
      </c>
      <c r="H2" s="701" t="s">
        <v>382</v>
      </c>
      <c r="I2" s="704" t="s">
        <v>383</v>
      </c>
      <c r="J2" s="705" t="s">
        <v>384</v>
      </c>
      <c r="K2" s="701" t="s">
        <v>385</v>
      </c>
      <c r="L2" s="704" t="s">
        <v>50</v>
      </c>
      <c r="M2" s="705" t="s">
        <v>51</v>
      </c>
      <c r="N2" s="701" t="s">
        <v>52</v>
      </c>
      <c r="O2" s="702" t="s">
        <v>53</v>
      </c>
      <c r="P2" s="701" t="s">
        <v>386</v>
      </c>
      <c r="Q2" s="704" t="s">
        <v>54</v>
      </c>
      <c r="R2" s="703" t="s">
        <v>331</v>
      </c>
      <c r="S2" s="706" t="s">
        <v>55</v>
      </c>
      <c r="T2" s="701" t="s">
        <v>330</v>
      </c>
      <c r="U2" s="702" t="s">
        <v>148</v>
      </c>
      <c r="V2" s="703" t="s">
        <v>378</v>
      </c>
      <c r="W2" s="701" t="s">
        <v>321</v>
      </c>
      <c r="X2" s="701" t="s">
        <v>324</v>
      </c>
      <c r="Y2" s="701" t="s">
        <v>407</v>
      </c>
      <c r="Z2" s="701" t="s">
        <v>332</v>
      </c>
      <c r="AA2" s="700" t="s">
        <v>413</v>
      </c>
      <c r="AB2" s="701" t="s">
        <v>333</v>
      </c>
      <c r="AC2" s="702" t="s">
        <v>342</v>
      </c>
      <c r="AD2" s="701" t="s">
        <v>275</v>
      </c>
      <c r="AE2" s="704" t="s">
        <v>377</v>
      </c>
      <c r="AF2" s="705" t="s">
        <v>376</v>
      </c>
      <c r="AG2" s="707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5.75" thickBot="1" x14ac:dyDescent="0.3">
      <c r="A3" s="840">
        <v>2480</v>
      </c>
      <c r="B3" s="689">
        <v>44437</v>
      </c>
      <c r="C3" s="620"/>
      <c r="D3" s="841">
        <v>90.84</v>
      </c>
      <c r="E3" s="690">
        <v>44447</v>
      </c>
      <c r="F3" s="619"/>
      <c r="G3" s="693"/>
      <c r="H3" s="694"/>
      <c r="I3" s="619"/>
      <c r="J3" s="690"/>
      <c r="K3" s="619"/>
      <c r="L3" s="855">
        <v>249.8</v>
      </c>
      <c r="M3" s="696" t="s">
        <v>432</v>
      </c>
      <c r="N3" s="697"/>
      <c r="O3" s="845">
        <f t="shared" ref="O3" si="0">AG35-AK6-AI3</f>
        <v>715</v>
      </c>
      <c r="P3" s="620"/>
      <c r="Q3" s="844">
        <v>200</v>
      </c>
      <c r="R3" s="698" t="s">
        <v>428</v>
      </c>
      <c r="S3" s="858">
        <v>200</v>
      </c>
      <c r="T3" s="621" t="s">
        <v>428</v>
      </c>
      <c r="U3" s="844"/>
      <c r="V3" s="698"/>
      <c r="W3" s="862">
        <v>100</v>
      </c>
      <c r="X3" s="698">
        <v>44438</v>
      </c>
      <c r="Y3" s="862"/>
      <c r="Z3" s="621"/>
      <c r="AA3" s="844">
        <v>100</v>
      </c>
      <c r="AB3" s="621">
        <v>44438</v>
      </c>
      <c r="AC3" s="866"/>
      <c r="AD3" s="621"/>
      <c r="AE3" s="695"/>
      <c r="AF3" s="690" t="s">
        <v>119</v>
      </c>
      <c r="AG3" s="842">
        <v>10</v>
      </c>
      <c r="AH3" s="299">
        <v>0</v>
      </c>
      <c r="AI3" s="300">
        <v>145</v>
      </c>
      <c r="AJ3" s="301">
        <f>AH6+AJ6</f>
        <v>19884.25</v>
      </c>
      <c r="AK3" s="302">
        <f>AK6+AI6</f>
        <v>2825.54</v>
      </c>
    </row>
    <row r="4" spans="1:37" ht="19.5" thickBot="1" x14ac:dyDescent="0.3">
      <c r="A4" s="659">
        <v>2500</v>
      </c>
      <c r="B4" s="661">
        <v>44452</v>
      </c>
      <c r="C4" s="617"/>
      <c r="D4" s="878">
        <v>110.24</v>
      </c>
      <c r="E4" s="671">
        <v>44456</v>
      </c>
      <c r="F4" s="618"/>
      <c r="G4" s="673"/>
      <c r="H4" s="676"/>
      <c r="I4" s="618"/>
      <c r="J4" s="671"/>
      <c r="K4" s="618"/>
      <c r="L4" s="856"/>
      <c r="M4" s="687"/>
      <c r="N4" s="664"/>
      <c r="O4" s="684"/>
      <c r="P4" s="617"/>
      <c r="Q4" s="846">
        <v>50</v>
      </c>
      <c r="R4" s="678">
        <v>44454</v>
      </c>
      <c r="S4" s="859">
        <v>100</v>
      </c>
      <c r="T4" s="615">
        <v>44471</v>
      </c>
      <c r="U4" s="846"/>
      <c r="V4" s="678"/>
      <c r="W4" s="863">
        <v>100</v>
      </c>
      <c r="X4" s="678">
        <v>44445</v>
      </c>
      <c r="Y4" s="863"/>
      <c r="Z4" s="615"/>
      <c r="AA4" s="846">
        <v>100</v>
      </c>
      <c r="AB4" s="615">
        <v>44453</v>
      </c>
      <c r="AC4" s="867"/>
      <c r="AD4" s="615"/>
      <c r="AE4" s="681"/>
      <c r="AF4" s="671">
        <v>44438</v>
      </c>
      <c r="AG4" s="843">
        <v>300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59">
        <v>2400.1</v>
      </c>
      <c r="B5" s="661">
        <v>44456</v>
      </c>
      <c r="C5" s="617"/>
      <c r="D5" s="673">
        <v>126.48</v>
      </c>
      <c r="E5" s="671">
        <v>44468</v>
      </c>
      <c r="F5" s="618"/>
      <c r="G5" s="673"/>
      <c r="H5" s="676"/>
      <c r="I5" s="618"/>
      <c r="J5" s="671"/>
      <c r="K5" s="618"/>
      <c r="L5" s="856"/>
      <c r="M5" s="687"/>
      <c r="N5" s="664"/>
      <c r="O5" s="684"/>
      <c r="P5" s="617"/>
      <c r="Q5" s="846">
        <v>20</v>
      </c>
      <c r="R5" s="678">
        <v>44456</v>
      </c>
      <c r="S5" s="859">
        <v>100</v>
      </c>
      <c r="T5" s="615">
        <v>44478</v>
      </c>
      <c r="U5" s="846"/>
      <c r="V5" s="678"/>
      <c r="W5" s="863">
        <v>100</v>
      </c>
      <c r="X5" s="678">
        <v>44453</v>
      </c>
      <c r="Y5" s="863"/>
      <c r="Z5" s="615"/>
      <c r="AA5" s="846">
        <v>50</v>
      </c>
      <c r="AB5" s="615">
        <v>44460</v>
      </c>
      <c r="AC5" s="867"/>
      <c r="AD5" s="615"/>
      <c r="AE5" s="681"/>
      <c r="AF5" s="671" t="s">
        <v>426</v>
      </c>
      <c r="AG5" s="843">
        <v>400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59">
        <v>2040.25</v>
      </c>
      <c r="B6" s="661">
        <v>44459</v>
      </c>
      <c r="C6" s="617"/>
      <c r="D6" s="673">
        <v>70.010000000000005</v>
      </c>
      <c r="E6" s="671">
        <v>44476</v>
      </c>
      <c r="F6" s="618"/>
      <c r="G6" s="673"/>
      <c r="H6" s="676"/>
      <c r="I6" s="618"/>
      <c r="J6" s="671"/>
      <c r="K6" s="618"/>
      <c r="L6" s="856"/>
      <c r="M6" s="687"/>
      <c r="N6" s="664"/>
      <c r="O6" s="684"/>
      <c r="P6" s="617"/>
      <c r="Q6" s="846">
        <v>20</v>
      </c>
      <c r="R6" s="678">
        <v>44461</v>
      </c>
      <c r="S6" s="859">
        <v>100</v>
      </c>
      <c r="T6" s="615">
        <v>44482</v>
      </c>
      <c r="U6" s="846"/>
      <c r="V6" s="678"/>
      <c r="W6" s="863">
        <v>100</v>
      </c>
      <c r="X6" s="678">
        <v>44464</v>
      </c>
      <c r="Y6" s="863"/>
      <c r="Z6" s="615"/>
      <c r="AA6" s="846"/>
      <c r="AB6" s="615"/>
      <c r="AC6" s="867"/>
      <c r="AD6" s="615"/>
      <c r="AE6" s="681"/>
      <c r="AF6" s="671" t="s">
        <v>427</v>
      </c>
      <c r="AG6" s="843">
        <v>400</v>
      </c>
      <c r="AH6" s="612">
        <f>A35+L35</f>
        <v>19634.45</v>
      </c>
      <c r="AI6" s="317">
        <f>D35+H35+K35+N35</f>
        <v>675.54</v>
      </c>
      <c r="AJ6" s="128">
        <f>L35+C35</f>
        <v>249.8</v>
      </c>
      <c r="AK6" s="129">
        <f>F35+G35+I35+M35+Q35+S35+U35+W35+Y35+AA35+AC35</f>
        <v>2150</v>
      </c>
    </row>
    <row r="7" spans="1:37" ht="19.5" thickBot="1" x14ac:dyDescent="0.3">
      <c r="A7" s="659">
        <v>3314.8</v>
      </c>
      <c r="B7" s="661">
        <v>44464</v>
      </c>
      <c r="C7" s="617"/>
      <c r="D7" s="673">
        <v>130.91999999999999</v>
      </c>
      <c r="E7" s="671">
        <v>44480</v>
      </c>
      <c r="F7" s="618"/>
      <c r="G7" s="673"/>
      <c r="H7" s="676"/>
      <c r="I7" s="618"/>
      <c r="J7" s="671"/>
      <c r="K7" s="618"/>
      <c r="L7" s="856"/>
      <c r="M7" s="687"/>
      <c r="N7" s="664"/>
      <c r="O7" s="684"/>
      <c r="P7" s="617"/>
      <c r="Q7" s="846">
        <v>50</v>
      </c>
      <c r="R7" s="678">
        <v>44462</v>
      </c>
      <c r="S7" s="859"/>
      <c r="T7" s="615"/>
      <c r="U7" s="846"/>
      <c r="V7" s="678"/>
      <c r="W7" s="863">
        <v>100</v>
      </c>
      <c r="X7" s="678">
        <v>44467</v>
      </c>
      <c r="Y7" s="863"/>
      <c r="Z7" s="615"/>
      <c r="AA7" s="846"/>
      <c r="AB7" s="615"/>
      <c r="AC7" s="867"/>
      <c r="AD7" s="615"/>
      <c r="AE7" s="681"/>
      <c r="AF7" s="671">
        <v>44459</v>
      </c>
      <c r="AG7" s="843">
        <v>200</v>
      </c>
      <c r="AH7" s="613" t="s">
        <v>66</v>
      </c>
      <c r="AI7" s="321" t="s">
        <v>67</v>
      </c>
    </row>
    <row r="8" spans="1:37" x14ac:dyDescent="0.25">
      <c r="A8" s="659">
        <v>3049.9</v>
      </c>
      <c r="B8" s="661">
        <v>44484</v>
      </c>
      <c r="C8" s="617"/>
      <c r="D8" s="673">
        <v>147.05000000000001</v>
      </c>
      <c r="E8" s="671">
        <v>44487</v>
      </c>
      <c r="F8" s="618"/>
      <c r="G8" s="673"/>
      <c r="H8" s="676"/>
      <c r="I8" s="618"/>
      <c r="J8" s="671"/>
      <c r="K8" s="618"/>
      <c r="L8" s="856"/>
      <c r="M8" s="687"/>
      <c r="N8" s="843"/>
      <c r="O8" s="684"/>
      <c r="P8" s="617"/>
      <c r="Q8" s="846">
        <v>20</v>
      </c>
      <c r="R8" s="678">
        <v>44463</v>
      </c>
      <c r="S8" s="860"/>
      <c r="T8" s="615"/>
      <c r="U8" s="846"/>
      <c r="V8" s="678"/>
      <c r="W8" s="863">
        <v>100</v>
      </c>
      <c r="X8" s="678">
        <v>44478</v>
      </c>
      <c r="Y8" s="863"/>
      <c r="Z8" s="615"/>
      <c r="AA8" s="846"/>
      <c r="AB8" s="615"/>
      <c r="AC8" s="867"/>
      <c r="AD8" s="615"/>
      <c r="AE8" s="681"/>
      <c r="AF8" s="671">
        <v>44464</v>
      </c>
      <c r="AG8" s="843">
        <v>700</v>
      </c>
      <c r="AH8" s="326">
        <v>0</v>
      </c>
      <c r="AI8" s="327">
        <f>E35</f>
        <v>0</v>
      </c>
    </row>
    <row r="9" spans="1:37" ht="15.75" thickBot="1" x14ac:dyDescent="0.3">
      <c r="A9" s="659">
        <v>3599.6</v>
      </c>
      <c r="B9" s="661">
        <v>44490</v>
      </c>
      <c r="C9" s="617"/>
      <c r="D9" s="673"/>
      <c r="E9" s="671"/>
      <c r="F9" s="618"/>
      <c r="G9" s="673"/>
      <c r="H9" s="676"/>
      <c r="I9" s="618"/>
      <c r="J9" s="671"/>
      <c r="K9" s="618"/>
      <c r="L9" s="856"/>
      <c r="M9" s="687"/>
      <c r="N9" s="664"/>
      <c r="O9" s="684"/>
      <c r="P9" s="617"/>
      <c r="Q9" s="846">
        <v>100</v>
      </c>
      <c r="R9" s="678">
        <v>44471</v>
      </c>
      <c r="S9" s="860"/>
      <c r="T9" s="615"/>
      <c r="U9" s="846"/>
      <c r="V9" s="678"/>
      <c r="W9" s="863">
        <v>100</v>
      </c>
      <c r="X9" s="678">
        <v>44482</v>
      </c>
      <c r="Y9" s="863"/>
      <c r="Z9" s="615"/>
      <c r="AA9" s="846"/>
      <c r="AB9" s="615"/>
      <c r="AC9" s="867"/>
      <c r="AD9" s="615"/>
      <c r="AE9" s="681"/>
      <c r="AF9" s="671">
        <v>44478</v>
      </c>
      <c r="AG9" s="843">
        <v>500</v>
      </c>
      <c r="AH9" s="1244">
        <f>AH8-AI8</f>
        <v>0</v>
      </c>
      <c r="AI9" s="1222"/>
    </row>
    <row r="10" spans="1:37" x14ac:dyDescent="0.25">
      <c r="A10" s="659"/>
      <c r="B10" s="661"/>
      <c r="C10" s="617"/>
      <c r="D10" s="673"/>
      <c r="E10" s="671"/>
      <c r="F10" s="618"/>
      <c r="G10" s="673"/>
      <c r="H10" s="676"/>
      <c r="I10" s="618"/>
      <c r="J10" s="671"/>
      <c r="K10" s="618"/>
      <c r="L10" s="856"/>
      <c r="M10" s="687"/>
      <c r="N10" s="664"/>
      <c r="O10" s="684"/>
      <c r="P10" s="617"/>
      <c r="Q10" s="846">
        <v>20</v>
      </c>
      <c r="R10" s="678">
        <v>44477</v>
      </c>
      <c r="S10" s="860"/>
      <c r="T10" s="615"/>
      <c r="U10" s="846"/>
      <c r="V10" s="678"/>
      <c r="W10" s="863"/>
      <c r="X10" s="678"/>
      <c r="Y10" s="863"/>
      <c r="Z10" s="615"/>
      <c r="AA10" s="663"/>
      <c r="AB10" s="615"/>
      <c r="AC10" s="868"/>
      <c r="AD10" s="615"/>
      <c r="AE10" s="681"/>
      <c r="AF10" s="671">
        <v>44482</v>
      </c>
      <c r="AG10" s="843">
        <v>500</v>
      </c>
      <c r="AH10" s="610"/>
    </row>
    <row r="11" spans="1:37" x14ac:dyDescent="0.25">
      <c r="A11" s="659"/>
      <c r="B11" s="661"/>
      <c r="C11" s="617"/>
      <c r="D11" s="673"/>
      <c r="E11" s="671"/>
      <c r="F11" s="618"/>
      <c r="G11" s="673"/>
      <c r="H11" s="676"/>
      <c r="I11" s="618"/>
      <c r="J11" s="671"/>
      <c r="K11" s="618"/>
      <c r="L11" s="856"/>
      <c r="M11" s="687"/>
      <c r="N11" s="843"/>
      <c r="O11" s="684"/>
      <c r="P11" s="617"/>
      <c r="Q11" s="846">
        <v>100</v>
      </c>
      <c r="R11" s="678">
        <v>44478</v>
      </c>
      <c r="S11" s="860"/>
      <c r="T11" s="615"/>
      <c r="U11" s="846"/>
      <c r="V11" s="678"/>
      <c r="W11" s="863"/>
      <c r="X11" s="678"/>
      <c r="Y11" s="863"/>
      <c r="Z11" s="615"/>
      <c r="AA11" s="663"/>
      <c r="AB11" s="615"/>
      <c r="AC11" s="868"/>
      <c r="AD11" s="615"/>
      <c r="AE11" s="681"/>
      <c r="AF11" s="671"/>
      <c r="AG11" s="843"/>
      <c r="AH11" s="610"/>
    </row>
    <row r="12" spans="1:37" x14ac:dyDescent="0.25">
      <c r="A12" s="659"/>
      <c r="B12" s="661"/>
      <c r="C12" s="617"/>
      <c r="D12" s="673"/>
      <c r="E12" s="671"/>
      <c r="F12" s="618"/>
      <c r="G12" s="673"/>
      <c r="H12" s="676"/>
      <c r="I12" s="618"/>
      <c r="J12" s="671"/>
      <c r="K12" s="618"/>
      <c r="L12" s="856"/>
      <c r="M12" s="687"/>
      <c r="N12" s="664"/>
      <c r="O12" s="684"/>
      <c r="P12" s="617"/>
      <c r="Q12" s="846">
        <v>20</v>
      </c>
      <c r="R12" s="678">
        <v>44481</v>
      </c>
      <c r="S12" s="860"/>
      <c r="T12" s="615"/>
      <c r="U12" s="846"/>
      <c r="V12" s="678"/>
      <c r="W12" s="863"/>
      <c r="X12" s="678"/>
      <c r="Y12" s="863"/>
      <c r="Z12" s="615"/>
      <c r="AA12" s="663"/>
      <c r="AB12" s="615"/>
      <c r="AC12" s="868"/>
      <c r="AD12" s="615"/>
      <c r="AE12" s="681"/>
      <c r="AF12" s="671"/>
      <c r="AG12" s="843"/>
      <c r="AH12" s="610"/>
    </row>
    <row r="13" spans="1:37" x14ac:dyDescent="0.25">
      <c r="A13" s="659"/>
      <c r="B13" s="661"/>
      <c r="C13" s="617"/>
      <c r="D13" s="673"/>
      <c r="E13" s="671"/>
      <c r="F13" s="618"/>
      <c r="G13" s="673"/>
      <c r="H13" s="676"/>
      <c r="I13" s="618"/>
      <c r="J13" s="671"/>
      <c r="K13" s="618"/>
      <c r="L13" s="856"/>
      <c r="M13" s="687"/>
      <c r="N13" s="664"/>
      <c r="O13" s="684"/>
      <c r="P13" s="617"/>
      <c r="Q13" s="846">
        <v>100</v>
      </c>
      <c r="R13" s="678">
        <v>44482</v>
      </c>
      <c r="S13" s="860"/>
      <c r="T13" s="615"/>
      <c r="U13" s="846"/>
      <c r="V13" s="678"/>
      <c r="W13" s="863"/>
      <c r="X13" s="678"/>
      <c r="Y13" s="863"/>
      <c r="Z13" s="615"/>
      <c r="AA13" s="663"/>
      <c r="AB13" s="615"/>
      <c r="AC13" s="868"/>
      <c r="AD13" s="615"/>
      <c r="AE13" s="681"/>
      <c r="AF13" s="671"/>
      <c r="AG13" s="843"/>
      <c r="AH13" s="610"/>
    </row>
    <row r="14" spans="1:37" x14ac:dyDescent="0.25">
      <c r="A14" s="659"/>
      <c r="B14" s="661"/>
      <c r="C14" s="617"/>
      <c r="D14" s="673"/>
      <c r="E14" s="671"/>
      <c r="F14" s="618"/>
      <c r="G14" s="673"/>
      <c r="H14" s="676"/>
      <c r="I14" s="618"/>
      <c r="J14" s="671"/>
      <c r="K14" s="618"/>
      <c r="L14" s="856"/>
      <c r="M14" s="687"/>
      <c r="N14" s="664"/>
      <c r="O14" s="684"/>
      <c r="P14" s="617"/>
      <c r="Q14" s="846"/>
      <c r="R14" s="678"/>
      <c r="S14" s="860"/>
      <c r="T14" s="615"/>
      <c r="U14" s="846"/>
      <c r="V14" s="678"/>
      <c r="W14" s="863"/>
      <c r="X14" s="678"/>
      <c r="Y14" s="863"/>
      <c r="Z14" s="615"/>
      <c r="AA14" s="663"/>
      <c r="AB14" s="615"/>
      <c r="AC14" s="868"/>
      <c r="AD14" s="615"/>
      <c r="AE14" s="681"/>
      <c r="AF14" s="671"/>
      <c r="AG14" s="664"/>
      <c r="AH14" s="610"/>
    </row>
    <row r="15" spans="1:37" x14ac:dyDescent="0.25">
      <c r="A15" s="659"/>
      <c r="B15" s="661"/>
      <c r="C15" s="617"/>
      <c r="D15" s="673"/>
      <c r="E15" s="671"/>
      <c r="F15" s="618"/>
      <c r="G15" s="673"/>
      <c r="H15" s="676"/>
      <c r="I15" s="618"/>
      <c r="J15" s="671"/>
      <c r="K15" s="618"/>
      <c r="L15" s="856"/>
      <c r="M15" s="687"/>
      <c r="N15" s="664"/>
      <c r="O15" s="684"/>
      <c r="P15" s="617"/>
      <c r="Q15" s="846"/>
      <c r="R15" s="678"/>
      <c r="S15" s="860"/>
      <c r="T15" s="615"/>
      <c r="U15" s="846"/>
      <c r="V15" s="678"/>
      <c r="W15" s="864"/>
      <c r="X15" s="678"/>
      <c r="Y15" s="863"/>
      <c r="Z15" s="615"/>
      <c r="AA15" s="663"/>
      <c r="AB15" s="615"/>
      <c r="AC15" s="868"/>
      <c r="AD15" s="615"/>
      <c r="AE15" s="681"/>
      <c r="AF15" s="671"/>
      <c r="AG15" s="664"/>
      <c r="AH15" s="610"/>
    </row>
    <row r="16" spans="1:37" x14ac:dyDescent="0.25">
      <c r="A16" s="659"/>
      <c r="B16" s="661"/>
      <c r="C16" s="617"/>
      <c r="D16" s="673"/>
      <c r="E16" s="671"/>
      <c r="F16" s="618"/>
      <c r="G16" s="673"/>
      <c r="H16" s="676"/>
      <c r="I16" s="618"/>
      <c r="J16" s="671"/>
      <c r="K16" s="618"/>
      <c r="L16" s="856"/>
      <c r="M16" s="687"/>
      <c r="N16" s="664"/>
      <c r="O16" s="684"/>
      <c r="P16" s="617"/>
      <c r="Q16" s="846"/>
      <c r="R16" s="678"/>
      <c r="S16" s="860"/>
      <c r="T16" s="615"/>
      <c r="U16" s="846"/>
      <c r="V16" s="678"/>
      <c r="W16" s="864"/>
      <c r="X16" s="678"/>
      <c r="Y16" s="863"/>
      <c r="Z16" s="615"/>
      <c r="AA16" s="663"/>
      <c r="AB16" s="615"/>
      <c r="AC16" s="868"/>
      <c r="AD16" s="615"/>
      <c r="AE16" s="681"/>
      <c r="AF16" s="671"/>
      <c r="AG16" s="664"/>
      <c r="AH16" s="610"/>
    </row>
    <row r="17" spans="1:34" x14ac:dyDescent="0.25">
      <c r="A17" s="659"/>
      <c r="B17" s="661"/>
      <c r="C17" s="617"/>
      <c r="D17" s="673"/>
      <c r="E17" s="671"/>
      <c r="F17" s="618"/>
      <c r="G17" s="673"/>
      <c r="H17" s="676"/>
      <c r="I17" s="618"/>
      <c r="J17" s="671"/>
      <c r="K17" s="618"/>
      <c r="L17" s="856"/>
      <c r="M17" s="687"/>
      <c r="N17" s="664"/>
      <c r="O17" s="684"/>
      <c r="P17" s="617"/>
      <c r="Q17" s="846"/>
      <c r="R17" s="678"/>
      <c r="S17" s="860"/>
      <c r="T17" s="615"/>
      <c r="U17" s="846"/>
      <c r="V17" s="678"/>
      <c r="W17" s="864"/>
      <c r="X17" s="678"/>
      <c r="Y17" s="863"/>
      <c r="Z17" s="615"/>
      <c r="AA17" s="663"/>
      <c r="AB17" s="615"/>
      <c r="AC17" s="868"/>
      <c r="AD17" s="615"/>
      <c r="AE17" s="681"/>
      <c r="AF17" s="671"/>
      <c r="AG17" s="664"/>
      <c r="AH17" s="610"/>
    </row>
    <row r="18" spans="1:34" x14ac:dyDescent="0.25">
      <c r="A18" s="659"/>
      <c r="B18" s="661"/>
      <c r="C18" s="617"/>
      <c r="D18" s="673"/>
      <c r="E18" s="671"/>
      <c r="F18" s="618"/>
      <c r="G18" s="673"/>
      <c r="H18" s="676"/>
      <c r="I18" s="618"/>
      <c r="J18" s="671"/>
      <c r="K18" s="618"/>
      <c r="L18" s="856"/>
      <c r="M18" s="687"/>
      <c r="N18" s="664"/>
      <c r="O18" s="684"/>
      <c r="P18" s="617"/>
      <c r="Q18" s="846"/>
      <c r="R18" s="678"/>
      <c r="S18" s="860"/>
      <c r="T18" s="615"/>
      <c r="U18" s="846"/>
      <c r="V18" s="678"/>
      <c r="W18" s="864"/>
      <c r="X18" s="678"/>
      <c r="Y18" s="864"/>
      <c r="Z18" s="615"/>
      <c r="AA18" s="663"/>
      <c r="AB18" s="615"/>
      <c r="AC18" s="868"/>
      <c r="AD18" s="615"/>
      <c r="AE18" s="681"/>
      <c r="AF18" s="671"/>
      <c r="AG18" s="664"/>
      <c r="AH18" s="610"/>
    </row>
    <row r="19" spans="1:34" x14ac:dyDescent="0.25">
      <c r="A19" s="659"/>
      <c r="B19" s="661"/>
      <c r="C19" s="617"/>
      <c r="D19" s="673"/>
      <c r="E19" s="671"/>
      <c r="F19" s="618"/>
      <c r="G19" s="673"/>
      <c r="H19" s="676"/>
      <c r="I19" s="618"/>
      <c r="J19" s="671"/>
      <c r="K19" s="618"/>
      <c r="L19" s="856"/>
      <c r="M19" s="687"/>
      <c r="N19" s="664"/>
      <c r="O19" s="684"/>
      <c r="P19" s="617"/>
      <c r="Q19" s="846"/>
      <c r="R19" s="678"/>
      <c r="S19" s="860"/>
      <c r="T19" s="615"/>
      <c r="U19" s="846"/>
      <c r="V19" s="678"/>
      <c r="W19" s="864"/>
      <c r="X19" s="678"/>
      <c r="Y19" s="864"/>
      <c r="Z19" s="615"/>
      <c r="AA19" s="663"/>
      <c r="AB19" s="615"/>
      <c r="AC19" s="868"/>
      <c r="AD19" s="615"/>
      <c r="AE19" s="681"/>
      <c r="AF19" s="671"/>
      <c r="AG19" s="664"/>
      <c r="AH19" s="614"/>
    </row>
    <row r="20" spans="1:34" x14ac:dyDescent="0.25">
      <c r="A20" s="659"/>
      <c r="B20" s="661"/>
      <c r="C20" s="617"/>
      <c r="D20" s="673"/>
      <c r="E20" s="671"/>
      <c r="F20" s="618"/>
      <c r="G20" s="673"/>
      <c r="H20" s="676"/>
      <c r="I20" s="618"/>
      <c r="J20" s="671"/>
      <c r="K20" s="618"/>
      <c r="L20" s="856"/>
      <c r="M20" s="687"/>
      <c r="N20" s="664"/>
      <c r="O20" s="684"/>
      <c r="P20" s="617"/>
      <c r="Q20" s="846"/>
      <c r="R20" s="678"/>
      <c r="S20" s="860"/>
      <c r="T20" s="615"/>
      <c r="U20" s="846"/>
      <c r="V20" s="678"/>
      <c r="W20" s="864"/>
      <c r="X20" s="678"/>
      <c r="Y20" s="864"/>
      <c r="Z20" s="615"/>
      <c r="AA20" s="663"/>
      <c r="AB20" s="615"/>
      <c r="AC20" s="868"/>
      <c r="AD20" s="615"/>
      <c r="AE20" s="681"/>
      <c r="AF20" s="671"/>
      <c r="AG20" s="664"/>
      <c r="AH20" s="614"/>
    </row>
    <row r="21" spans="1:34" x14ac:dyDescent="0.25">
      <c r="A21" s="659"/>
      <c r="B21" s="661"/>
      <c r="C21" s="617"/>
      <c r="D21" s="673"/>
      <c r="E21" s="671"/>
      <c r="F21" s="618"/>
      <c r="G21" s="673"/>
      <c r="H21" s="676"/>
      <c r="I21" s="618"/>
      <c r="J21" s="671"/>
      <c r="K21" s="618"/>
      <c r="L21" s="856"/>
      <c r="M21" s="687"/>
      <c r="N21" s="664"/>
      <c r="O21" s="684"/>
      <c r="P21" s="617"/>
      <c r="Q21" s="846"/>
      <c r="R21" s="678"/>
      <c r="S21" s="860"/>
      <c r="T21" s="615"/>
      <c r="U21" s="846"/>
      <c r="V21" s="678"/>
      <c r="W21" s="864"/>
      <c r="X21" s="678"/>
      <c r="Y21" s="864"/>
      <c r="Z21" s="615"/>
      <c r="AA21" s="663"/>
      <c r="AB21" s="615"/>
      <c r="AC21" s="868"/>
      <c r="AD21" s="615"/>
      <c r="AE21" s="681"/>
      <c r="AF21" s="671"/>
      <c r="AG21" s="664"/>
      <c r="AH21" s="614"/>
    </row>
    <row r="22" spans="1:34" x14ac:dyDescent="0.25">
      <c r="A22" s="659"/>
      <c r="B22" s="661"/>
      <c r="C22" s="617"/>
      <c r="D22" s="673"/>
      <c r="E22" s="671"/>
      <c r="F22" s="618"/>
      <c r="G22" s="673"/>
      <c r="H22" s="676"/>
      <c r="I22" s="618"/>
      <c r="J22" s="671"/>
      <c r="K22" s="618"/>
      <c r="L22" s="856"/>
      <c r="M22" s="687"/>
      <c r="N22" s="664"/>
      <c r="O22" s="684"/>
      <c r="P22" s="617"/>
      <c r="Q22" s="846"/>
      <c r="R22" s="678"/>
      <c r="S22" s="860"/>
      <c r="T22" s="615"/>
      <c r="U22" s="846"/>
      <c r="V22" s="678"/>
      <c r="W22" s="864"/>
      <c r="X22" s="678"/>
      <c r="Y22" s="864"/>
      <c r="Z22" s="615"/>
      <c r="AA22" s="663"/>
      <c r="AB22" s="615"/>
      <c r="AC22" s="868"/>
      <c r="AD22" s="615"/>
      <c r="AE22" s="681"/>
      <c r="AF22" s="671"/>
      <c r="AG22" s="664"/>
      <c r="AH22" s="614"/>
    </row>
    <row r="23" spans="1:34" x14ac:dyDescent="0.25">
      <c r="A23" s="659"/>
      <c r="B23" s="661"/>
      <c r="C23" s="617"/>
      <c r="D23" s="673"/>
      <c r="E23" s="671"/>
      <c r="F23" s="618"/>
      <c r="G23" s="673"/>
      <c r="H23" s="676"/>
      <c r="I23" s="618"/>
      <c r="J23" s="671"/>
      <c r="K23" s="618"/>
      <c r="L23" s="856"/>
      <c r="M23" s="687"/>
      <c r="N23" s="664"/>
      <c r="O23" s="684"/>
      <c r="P23" s="617"/>
      <c r="Q23" s="846"/>
      <c r="R23" s="678"/>
      <c r="S23" s="860"/>
      <c r="T23" s="615"/>
      <c r="U23" s="846"/>
      <c r="V23" s="678"/>
      <c r="W23" s="864"/>
      <c r="X23" s="678"/>
      <c r="Y23" s="864"/>
      <c r="Z23" s="615"/>
      <c r="AA23" s="663"/>
      <c r="AB23" s="615"/>
      <c r="AC23" s="868"/>
      <c r="AD23" s="615"/>
      <c r="AE23" s="681"/>
      <c r="AF23" s="671"/>
      <c r="AG23" s="664"/>
      <c r="AH23" s="614"/>
    </row>
    <row r="24" spans="1:34" x14ac:dyDescent="0.25">
      <c r="A24" s="659"/>
      <c r="B24" s="661"/>
      <c r="C24" s="617"/>
      <c r="D24" s="673"/>
      <c r="E24" s="671"/>
      <c r="F24" s="618"/>
      <c r="G24" s="673"/>
      <c r="H24" s="676"/>
      <c r="I24" s="618"/>
      <c r="J24" s="671"/>
      <c r="K24" s="618"/>
      <c r="L24" s="856"/>
      <c r="M24" s="687"/>
      <c r="N24" s="664"/>
      <c r="O24" s="684"/>
      <c r="P24" s="617"/>
      <c r="Q24" s="846"/>
      <c r="R24" s="678"/>
      <c r="S24" s="860"/>
      <c r="T24" s="615"/>
      <c r="U24" s="846"/>
      <c r="V24" s="678"/>
      <c r="W24" s="864"/>
      <c r="X24" s="678"/>
      <c r="Y24" s="864"/>
      <c r="Z24" s="615"/>
      <c r="AA24" s="663"/>
      <c r="AB24" s="615"/>
      <c r="AC24" s="868"/>
      <c r="AD24" s="615"/>
      <c r="AE24" s="681"/>
      <c r="AF24" s="671"/>
      <c r="AG24" s="664"/>
      <c r="AH24" s="614"/>
    </row>
    <row r="25" spans="1:34" x14ac:dyDescent="0.25">
      <c r="A25" s="659"/>
      <c r="B25" s="661"/>
      <c r="C25" s="617"/>
      <c r="D25" s="673"/>
      <c r="E25" s="671"/>
      <c r="F25" s="618"/>
      <c r="G25" s="673"/>
      <c r="H25" s="676"/>
      <c r="I25" s="618"/>
      <c r="J25" s="671"/>
      <c r="K25" s="618"/>
      <c r="L25" s="856"/>
      <c r="M25" s="687"/>
      <c r="N25" s="664"/>
      <c r="O25" s="684"/>
      <c r="P25" s="617"/>
      <c r="Q25" s="846"/>
      <c r="R25" s="678"/>
      <c r="S25" s="860"/>
      <c r="T25" s="615"/>
      <c r="U25" s="846"/>
      <c r="V25" s="678"/>
      <c r="W25" s="864"/>
      <c r="X25" s="678"/>
      <c r="Y25" s="864"/>
      <c r="Z25" s="615"/>
      <c r="AA25" s="663"/>
      <c r="AB25" s="615"/>
      <c r="AC25" s="868"/>
      <c r="AD25" s="615"/>
      <c r="AE25" s="681"/>
      <c r="AF25" s="671"/>
      <c r="AG25" s="664"/>
      <c r="AH25" s="614"/>
    </row>
    <row r="26" spans="1:34" x14ac:dyDescent="0.25">
      <c r="A26" s="659"/>
      <c r="B26" s="661"/>
      <c r="C26" s="617"/>
      <c r="D26" s="673"/>
      <c r="E26" s="671"/>
      <c r="F26" s="618"/>
      <c r="G26" s="673"/>
      <c r="H26" s="676"/>
      <c r="I26" s="618"/>
      <c r="J26" s="671"/>
      <c r="K26" s="618"/>
      <c r="L26" s="856"/>
      <c r="M26" s="687"/>
      <c r="N26" s="664"/>
      <c r="O26" s="684"/>
      <c r="P26" s="617"/>
      <c r="Q26" s="846"/>
      <c r="R26" s="678"/>
      <c r="S26" s="860"/>
      <c r="T26" s="615"/>
      <c r="U26" s="846"/>
      <c r="V26" s="678"/>
      <c r="W26" s="864"/>
      <c r="X26" s="678"/>
      <c r="Y26" s="864"/>
      <c r="Z26" s="615"/>
      <c r="AA26" s="663"/>
      <c r="AB26" s="615"/>
      <c r="AC26" s="868"/>
      <c r="AD26" s="615"/>
      <c r="AE26" s="681"/>
      <c r="AF26" s="671"/>
      <c r="AG26" s="664"/>
      <c r="AH26" s="614"/>
    </row>
    <row r="27" spans="1:34" x14ac:dyDescent="0.25">
      <c r="A27" s="659"/>
      <c r="B27" s="661"/>
      <c r="C27" s="617"/>
      <c r="D27" s="673"/>
      <c r="E27" s="671"/>
      <c r="F27" s="618"/>
      <c r="G27" s="673"/>
      <c r="H27" s="676"/>
      <c r="I27" s="618"/>
      <c r="J27" s="671"/>
      <c r="K27" s="618"/>
      <c r="L27" s="856"/>
      <c r="M27" s="687"/>
      <c r="N27" s="664"/>
      <c r="O27" s="684"/>
      <c r="P27" s="617"/>
      <c r="Q27" s="846"/>
      <c r="R27" s="678"/>
      <c r="S27" s="860"/>
      <c r="T27" s="615"/>
      <c r="U27" s="846"/>
      <c r="V27" s="678"/>
      <c r="W27" s="864"/>
      <c r="X27" s="678"/>
      <c r="Y27" s="864"/>
      <c r="Z27" s="615"/>
      <c r="AA27" s="663"/>
      <c r="AB27" s="615"/>
      <c r="AC27" s="868"/>
      <c r="AD27" s="615"/>
      <c r="AE27" s="681"/>
      <c r="AF27" s="671"/>
      <c r="AG27" s="664"/>
      <c r="AH27" s="614"/>
    </row>
    <row r="28" spans="1:34" x14ac:dyDescent="0.25">
      <c r="A28" s="659"/>
      <c r="B28" s="661"/>
      <c r="C28" s="617"/>
      <c r="D28" s="673"/>
      <c r="E28" s="671"/>
      <c r="F28" s="618"/>
      <c r="G28" s="673"/>
      <c r="H28" s="676"/>
      <c r="I28" s="618"/>
      <c r="J28" s="671"/>
      <c r="K28" s="618"/>
      <c r="L28" s="856"/>
      <c r="M28" s="687"/>
      <c r="N28" s="664"/>
      <c r="O28" s="684"/>
      <c r="P28" s="617"/>
      <c r="Q28" s="846"/>
      <c r="R28" s="678"/>
      <c r="S28" s="860"/>
      <c r="T28" s="615"/>
      <c r="U28" s="846"/>
      <c r="V28" s="678"/>
      <c r="W28" s="864"/>
      <c r="X28" s="678"/>
      <c r="Y28" s="864"/>
      <c r="Z28" s="615"/>
      <c r="AA28" s="663"/>
      <c r="AB28" s="615"/>
      <c r="AC28" s="868"/>
      <c r="AD28" s="615"/>
      <c r="AE28" s="681"/>
      <c r="AF28" s="671"/>
      <c r="AG28" s="664"/>
      <c r="AH28" s="614"/>
    </row>
    <row r="29" spans="1:34" x14ac:dyDescent="0.25">
      <c r="A29" s="659"/>
      <c r="B29" s="661"/>
      <c r="C29" s="617"/>
      <c r="D29" s="673"/>
      <c r="E29" s="671"/>
      <c r="F29" s="618"/>
      <c r="G29" s="673"/>
      <c r="H29" s="676"/>
      <c r="I29" s="618"/>
      <c r="J29" s="671"/>
      <c r="K29" s="618"/>
      <c r="L29" s="856"/>
      <c r="M29" s="687"/>
      <c r="N29" s="664"/>
      <c r="O29" s="684"/>
      <c r="P29" s="617"/>
      <c r="Q29" s="846"/>
      <c r="R29" s="678"/>
      <c r="S29" s="860"/>
      <c r="T29" s="615"/>
      <c r="U29" s="846"/>
      <c r="V29" s="678"/>
      <c r="W29" s="864"/>
      <c r="X29" s="678"/>
      <c r="Y29" s="864"/>
      <c r="Z29" s="615"/>
      <c r="AA29" s="663"/>
      <c r="AB29" s="615"/>
      <c r="AC29" s="868"/>
      <c r="AD29" s="615"/>
      <c r="AE29" s="681"/>
      <c r="AF29" s="671"/>
      <c r="AG29" s="664"/>
      <c r="AH29" s="614"/>
    </row>
    <row r="30" spans="1:34" x14ac:dyDescent="0.25">
      <c r="A30" s="659"/>
      <c r="B30" s="661"/>
      <c r="C30" s="617"/>
      <c r="D30" s="673"/>
      <c r="E30" s="671"/>
      <c r="F30" s="618"/>
      <c r="G30" s="673"/>
      <c r="H30" s="676"/>
      <c r="I30" s="618"/>
      <c r="J30" s="671"/>
      <c r="K30" s="618"/>
      <c r="L30" s="856"/>
      <c r="M30" s="687"/>
      <c r="N30" s="664"/>
      <c r="O30" s="684"/>
      <c r="P30" s="617"/>
      <c r="Q30" s="846"/>
      <c r="R30" s="678"/>
      <c r="S30" s="860"/>
      <c r="T30" s="615"/>
      <c r="U30" s="846"/>
      <c r="V30" s="678"/>
      <c r="W30" s="864"/>
      <c r="X30" s="678"/>
      <c r="Y30" s="864"/>
      <c r="Z30" s="615"/>
      <c r="AA30" s="663"/>
      <c r="AB30" s="615"/>
      <c r="AC30" s="868"/>
      <c r="AD30" s="615"/>
      <c r="AE30" s="681"/>
      <c r="AF30" s="671"/>
      <c r="AG30" s="664"/>
      <c r="AH30" s="614"/>
    </row>
    <row r="31" spans="1:34" x14ac:dyDescent="0.25">
      <c r="A31" s="659"/>
      <c r="B31" s="661"/>
      <c r="C31" s="617"/>
      <c r="D31" s="673"/>
      <c r="E31" s="671"/>
      <c r="F31" s="618"/>
      <c r="G31" s="673"/>
      <c r="H31" s="676"/>
      <c r="I31" s="618"/>
      <c r="J31" s="671"/>
      <c r="K31" s="618"/>
      <c r="L31" s="856"/>
      <c r="M31" s="687"/>
      <c r="N31" s="664"/>
      <c r="O31" s="684"/>
      <c r="P31" s="617"/>
      <c r="Q31" s="846"/>
      <c r="R31" s="678"/>
      <c r="S31" s="860"/>
      <c r="T31" s="615"/>
      <c r="U31" s="846"/>
      <c r="V31" s="678"/>
      <c r="W31" s="864"/>
      <c r="X31" s="678"/>
      <c r="Y31" s="864"/>
      <c r="Z31" s="615"/>
      <c r="AA31" s="663"/>
      <c r="AB31" s="615"/>
      <c r="AC31" s="868"/>
      <c r="AD31" s="615"/>
      <c r="AE31" s="681"/>
      <c r="AF31" s="671"/>
      <c r="AG31" s="664"/>
      <c r="AH31" s="614"/>
    </row>
    <row r="32" spans="1:34" x14ac:dyDescent="0.25">
      <c r="A32" s="659"/>
      <c r="B32" s="661"/>
      <c r="C32" s="617"/>
      <c r="D32" s="673"/>
      <c r="E32" s="671"/>
      <c r="F32" s="618"/>
      <c r="G32" s="673"/>
      <c r="H32" s="676"/>
      <c r="I32" s="618"/>
      <c r="J32" s="671"/>
      <c r="K32" s="618"/>
      <c r="L32" s="856"/>
      <c r="M32" s="687"/>
      <c r="N32" s="664"/>
      <c r="O32" s="684"/>
      <c r="P32" s="617"/>
      <c r="Q32" s="846"/>
      <c r="R32" s="678"/>
      <c r="S32" s="860"/>
      <c r="T32" s="615"/>
      <c r="U32" s="846"/>
      <c r="V32" s="678"/>
      <c r="W32" s="864"/>
      <c r="X32" s="678"/>
      <c r="Y32" s="864"/>
      <c r="Z32" s="615"/>
      <c r="AA32" s="663"/>
      <c r="AB32" s="615"/>
      <c r="AC32" s="868"/>
      <c r="AD32" s="615"/>
      <c r="AE32" s="681"/>
      <c r="AF32" s="671"/>
      <c r="AG32" s="664"/>
      <c r="AH32" s="614"/>
    </row>
    <row r="33" spans="1:34" ht="15.75" thickBot="1" x14ac:dyDescent="0.3">
      <c r="A33" s="660"/>
      <c r="B33" s="662"/>
      <c r="C33" s="667"/>
      <c r="D33" s="674"/>
      <c r="E33" s="672"/>
      <c r="F33" s="675"/>
      <c r="G33" s="674"/>
      <c r="H33" s="677"/>
      <c r="I33" s="624"/>
      <c r="J33" s="691"/>
      <c r="K33" s="624"/>
      <c r="L33" s="857"/>
      <c r="M33" s="688"/>
      <c r="N33" s="666"/>
      <c r="O33" s="686"/>
      <c r="P33" s="623"/>
      <c r="Q33" s="854"/>
      <c r="R33" s="679"/>
      <c r="S33" s="861"/>
      <c r="T33" s="616"/>
      <c r="U33" s="854"/>
      <c r="V33" s="679"/>
      <c r="W33" s="865"/>
      <c r="X33" s="679"/>
      <c r="Y33" s="865"/>
      <c r="Z33" s="680"/>
      <c r="AA33" s="665"/>
      <c r="AB33" s="680"/>
      <c r="AC33" s="869"/>
      <c r="AD33" s="680"/>
      <c r="AE33" s="682"/>
      <c r="AF33" s="683"/>
      <c r="AG33" s="666"/>
      <c r="AH33" s="614"/>
    </row>
    <row r="34" spans="1:34" ht="15.75" thickBot="1" x14ac:dyDescent="0.3">
      <c r="A34" s="1285" t="s">
        <v>102</v>
      </c>
      <c r="B34" s="1284"/>
      <c r="C34" s="1284"/>
      <c r="D34" s="668" t="s">
        <v>103</v>
      </c>
      <c r="E34" s="669" t="s">
        <v>61</v>
      </c>
      <c r="F34" s="670" t="s">
        <v>103</v>
      </c>
      <c r="G34" s="1285" t="s">
        <v>103</v>
      </c>
      <c r="H34" s="1284"/>
      <c r="I34" s="1305" t="s">
        <v>102</v>
      </c>
      <c r="J34" s="1287"/>
      <c r="K34" s="1287"/>
      <c r="L34" s="1306" t="s">
        <v>102</v>
      </c>
      <c r="M34" s="1284"/>
      <c r="N34" s="1284"/>
      <c r="O34" s="1305" t="s">
        <v>104</v>
      </c>
      <c r="P34" s="1307"/>
      <c r="Q34" s="1276" t="s">
        <v>104</v>
      </c>
      <c r="R34" s="1299"/>
      <c r="S34" s="1276" t="s">
        <v>104</v>
      </c>
      <c r="T34" s="1299"/>
      <c r="U34" s="1276" t="s">
        <v>104</v>
      </c>
      <c r="V34" s="1304"/>
      <c r="W34" s="1308"/>
      <c r="X34" s="1309"/>
      <c r="Y34" s="1308"/>
      <c r="Z34" s="1309"/>
      <c r="AA34" s="1285" t="s">
        <v>102</v>
      </c>
      <c r="AB34" s="1304"/>
      <c r="AC34" s="1276" t="s">
        <v>102</v>
      </c>
      <c r="AD34" s="1304"/>
      <c r="AE34" s="1283" t="s">
        <v>102</v>
      </c>
      <c r="AF34" s="1284"/>
      <c r="AG34" s="1304"/>
      <c r="AH34" s="614"/>
    </row>
    <row r="35" spans="1:34" x14ac:dyDescent="0.25">
      <c r="A35" s="872">
        <f>SUM(A3:A33)</f>
        <v>19384.650000000001</v>
      </c>
      <c r="B35" s="626"/>
      <c r="C35" s="627">
        <f>SUM(C3:C33)</f>
        <v>0</v>
      </c>
      <c r="D35" s="871">
        <f>SUM(D3:D33)</f>
        <v>675.54</v>
      </c>
      <c r="E35" s="629">
        <v>0</v>
      </c>
      <c r="F35" s="870">
        <f>SUM(F3:F33)</f>
        <v>0</v>
      </c>
      <c r="G35" s="628">
        <f>SUM(G3:G33)</f>
        <v>0</v>
      </c>
      <c r="H35" s="630">
        <f>SUM(H3:H33)</f>
        <v>0</v>
      </c>
      <c r="I35" s="628">
        <f>SUM(I3:I33)</f>
        <v>0</v>
      </c>
      <c r="J35" s="629"/>
      <c r="K35" s="630">
        <f>SUM(K3:K33)</f>
        <v>0</v>
      </c>
      <c r="L35" s="631">
        <f>SUM(L3:L33)</f>
        <v>249.8</v>
      </c>
      <c r="M35" s="873">
        <f>N3+N4+N5+N6+N7+N8+N9+N10</f>
        <v>0</v>
      </c>
      <c r="N35" s="870">
        <f>N27+N28+N29+N30+N31+N32+N33</f>
        <v>0</v>
      </c>
      <c r="O35" s="871">
        <f>O3+O5</f>
        <v>715</v>
      </c>
      <c r="P35" s="632">
        <f>P3</f>
        <v>0</v>
      </c>
      <c r="Q35" s="880">
        <f>SUM(Q3:Q33)</f>
        <v>700</v>
      </c>
      <c r="R35" s="884">
        <v>0</v>
      </c>
      <c r="S35" s="880">
        <f>SUM(S3:S33)</f>
        <v>500</v>
      </c>
      <c r="T35" s="884">
        <v>0</v>
      </c>
      <c r="U35" s="880">
        <f>SUM(U3:U33)</f>
        <v>0</v>
      </c>
      <c r="V35" s="889">
        <v>0</v>
      </c>
      <c r="W35" s="881">
        <f>SUM(W3:W33)</f>
        <v>700</v>
      </c>
      <c r="X35" s="890">
        <v>0</v>
      </c>
      <c r="Y35" s="847">
        <f>SUM(Y3:Y33)</f>
        <v>0</v>
      </c>
      <c r="Z35" s="847"/>
      <c r="AA35" s="628">
        <f>SUM(AA3:AA33)</f>
        <v>250</v>
      </c>
      <c r="AB35" s="630"/>
      <c r="AC35" s="628">
        <f>SUM(AC3:AC33)</f>
        <v>0</v>
      </c>
      <c r="AD35" s="630"/>
      <c r="AE35" s="631">
        <f>SUM(AE3:AE33)</f>
        <v>0</v>
      </c>
      <c r="AF35" s="629"/>
      <c r="AG35" s="633">
        <f>SUM(AG3:AG33)</f>
        <v>3010</v>
      </c>
      <c r="AH35" s="614"/>
    </row>
    <row r="36" spans="1:34" x14ac:dyDescent="0.25">
      <c r="A36" s="634"/>
      <c r="B36" s="635"/>
      <c r="C36" s="636"/>
      <c r="D36" s="634"/>
      <c r="E36" s="635"/>
      <c r="F36" s="636"/>
      <c r="G36" s="634"/>
      <c r="H36" s="636"/>
      <c r="I36" s="634"/>
      <c r="J36" s="635"/>
      <c r="K36" s="636"/>
      <c r="L36" s="634"/>
      <c r="M36" s="635" t="s">
        <v>49</v>
      </c>
      <c r="N36" s="636" t="s">
        <v>46</v>
      </c>
      <c r="O36" s="883">
        <v>0</v>
      </c>
      <c r="P36" s="636" t="s">
        <v>355</v>
      </c>
      <c r="Q36" s="883">
        <v>0</v>
      </c>
      <c r="R36" s="636" t="s">
        <v>354</v>
      </c>
      <c r="S36" s="883">
        <v>0</v>
      </c>
      <c r="T36" s="636" t="s">
        <v>355</v>
      </c>
      <c r="U36" s="883">
        <v>0</v>
      </c>
      <c r="V36" s="637" t="s">
        <v>355</v>
      </c>
      <c r="W36" s="886">
        <v>0</v>
      </c>
      <c r="X36" s="891" t="s">
        <v>355</v>
      </c>
      <c r="Y36" s="848"/>
      <c r="Z36" s="848"/>
      <c r="AA36" s="634">
        <v>0</v>
      </c>
      <c r="AB36" s="636" t="s">
        <v>264</v>
      </c>
      <c r="AC36" s="634"/>
      <c r="AD36" s="636"/>
      <c r="AE36" s="634"/>
      <c r="AF36" s="635"/>
      <c r="AG36" s="637"/>
      <c r="AH36" s="614"/>
    </row>
    <row r="37" spans="1:34" ht="15.75" thickBot="1" x14ac:dyDescent="0.3">
      <c r="A37" s="638"/>
      <c r="B37" s="639"/>
      <c r="C37" s="640"/>
      <c r="D37" s="638"/>
      <c r="E37" s="639"/>
      <c r="F37" s="640"/>
      <c r="G37" s="638"/>
      <c r="H37" s="640"/>
      <c r="I37" s="638"/>
      <c r="J37" s="639"/>
      <c r="K37" s="640"/>
      <c r="L37" s="638"/>
      <c r="M37" s="639"/>
      <c r="N37" s="640"/>
      <c r="O37" s="882">
        <f>O35-O36</f>
        <v>715</v>
      </c>
      <c r="P37" s="640" t="s">
        <v>263</v>
      </c>
      <c r="Q37" s="885">
        <f>Q35-Q36</f>
        <v>700</v>
      </c>
      <c r="R37" s="640" t="s">
        <v>264</v>
      </c>
      <c r="S37" s="885">
        <f>S35-S36</f>
        <v>500</v>
      </c>
      <c r="T37" s="640" t="s">
        <v>264</v>
      </c>
      <c r="U37" s="885">
        <f>U35-U36</f>
        <v>0</v>
      </c>
      <c r="V37" s="641" t="s">
        <v>264</v>
      </c>
      <c r="W37" s="887">
        <f>W35-W36</f>
        <v>700</v>
      </c>
      <c r="X37" s="892"/>
      <c r="Y37" s="850"/>
      <c r="Z37" s="849"/>
      <c r="AA37" s="638">
        <f>AA35-AA36</f>
        <v>250</v>
      </c>
      <c r="AB37" s="640" t="s">
        <v>264</v>
      </c>
      <c r="AC37" s="638"/>
      <c r="AD37" s="640"/>
      <c r="AE37" s="638"/>
      <c r="AF37" s="639"/>
      <c r="AG37" s="641"/>
      <c r="AH37" s="614"/>
    </row>
    <row r="38" spans="1:34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/>
      <c r="P38" s="610"/>
      <c r="Q38" s="888">
        <v>88</v>
      </c>
      <c r="R38" s="614" t="s">
        <v>359</v>
      </c>
      <c r="S38" s="610"/>
      <c r="T38" s="610"/>
      <c r="U38" s="610"/>
      <c r="V38" s="610"/>
      <c r="W38" s="610"/>
      <c r="X38" s="610"/>
      <c r="Y38" s="610"/>
      <c r="Z38" s="610"/>
      <c r="AA38" s="610"/>
      <c r="AB38" s="610"/>
      <c r="AC38" s="610"/>
      <c r="AD38" s="610"/>
      <c r="AE38" s="610"/>
      <c r="AF38" s="610"/>
      <c r="AG38" s="610"/>
    </row>
    <row r="39" spans="1:34" x14ac:dyDescent="0.25">
      <c r="Q39" s="36">
        <v>2020</v>
      </c>
      <c r="R39" s="30" t="s">
        <v>358</v>
      </c>
    </row>
    <row r="40" spans="1:34" x14ac:dyDescent="0.25">
      <c r="Q40" s="36">
        <v>975</v>
      </c>
      <c r="R40" s="30" t="s">
        <v>356</v>
      </c>
    </row>
    <row r="41" spans="1:34" x14ac:dyDescent="0.25">
      <c r="Q41" s="36">
        <v>10000</v>
      </c>
      <c r="R41" s="30" t="s">
        <v>49</v>
      </c>
    </row>
    <row r="42" spans="1:34" x14ac:dyDescent="0.25">
      <c r="Q42" s="36">
        <v>30000</v>
      </c>
      <c r="R42" s="36" t="s">
        <v>357</v>
      </c>
    </row>
    <row r="43" spans="1:34" x14ac:dyDescent="0.25">
      <c r="Q43" s="879">
        <v>33745</v>
      </c>
      <c r="R43" s="30" t="s">
        <v>103</v>
      </c>
    </row>
    <row r="44" spans="1:34" x14ac:dyDescent="0.25">
      <c r="Q44">
        <v>750</v>
      </c>
      <c r="R44" t="s">
        <v>392</v>
      </c>
    </row>
    <row r="45" spans="1:34" x14ac:dyDescent="0.25">
      <c r="Q45">
        <v>25</v>
      </c>
      <c r="R45" s="827" t="s">
        <v>251</v>
      </c>
    </row>
    <row r="46" spans="1:34" x14ac:dyDescent="0.25">
      <c r="Q46">
        <v>-10000</v>
      </c>
      <c r="R46" s="827">
        <v>44350</v>
      </c>
    </row>
    <row r="47" spans="1:34" x14ac:dyDescent="0.25">
      <c r="Q47">
        <v>500</v>
      </c>
      <c r="R47" t="s">
        <v>399</v>
      </c>
    </row>
    <row r="48" spans="1:34" x14ac:dyDescent="0.25">
      <c r="Q48">
        <v>1100</v>
      </c>
      <c r="R48" t="s">
        <v>400</v>
      </c>
    </row>
    <row r="49" spans="17:18" x14ac:dyDescent="0.25">
      <c r="Q49">
        <v>1500</v>
      </c>
    </row>
    <row r="50" spans="17:18" x14ac:dyDescent="0.25">
      <c r="Q50" s="929">
        <v>80</v>
      </c>
    </row>
    <row r="51" spans="17:18" x14ac:dyDescent="0.25">
      <c r="Q51" t="s">
        <v>429</v>
      </c>
    </row>
    <row r="52" spans="17:18" x14ac:dyDescent="0.25">
      <c r="Q52">
        <v>-10000</v>
      </c>
      <c r="R52" s="827">
        <v>44495</v>
      </c>
    </row>
  </sheetData>
  <mergeCells count="25">
    <mergeCell ref="A1:F1"/>
    <mergeCell ref="G1:H1"/>
    <mergeCell ref="I1:K1"/>
    <mergeCell ref="L1:N1"/>
    <mergeCell ref="O1:P1"/>
    <mergeCell ref="Q34:R34"/>
    <mergeCell ref="AE1:AG1"/>
    <mergeCell ref="AH1:AI1"/>
    <mergeCell ref="AJ1:AK1"/>
    <mergeCell ref="AH4:AI4"/>
    <mergeCell ref="AJ4:AK4"/>
    <mergeCell ref="AH9:AI9"/>
    <mergeCell ref="Q1:AD1"/>
    <mergeCell ref="AE34:AG34"/>
    <mergeCell ref="S34:T34"/>
    <mergeCell ref="U34:V34"/>
    <mergeCell ref="W34:X34"/>
    <mergeCell ref="Y34:Z34"/>
    <mergeCell ref="AA34:AB34"/>
    <mergeCell ref="AC34:AD34"/>
    <mergeCell ref="A34:C34"/>
    <mergeCell ref="G34:H34"/>
    <mergeCell ref="I34:K34"/>
    <mergeCell ref="L34:N34"/>
    <mergeCell ref="O34:P34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2EB9A-8221-7142-A308-9E46C997F02F}">
  <dimension ref="A1:AK50"/>
  <sheetViews>
    <sheetView topLeftCell="N1" zoomScaleNormal="60" zoomScaleSheetLayoutView="100" workbookViewId="0">
      <selection activeCell="O3" sqref="O3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9.5703125" bestFit="1" customWidth="1"/>
    <col min="4" max="4" width="9.7109375" bestFit="1" customWidth="1"/>
    <col min="5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9.42578125" customWidth="1"/>
    <col min="18" max="18" width="10.28515625" bestFit="1" customWidth="1"/>
    <col min="19" max="19" width="9.42578125" bestFit="1" customWidth="1"/>
    <col min="20" max="20" width="10.28515625" bestFit="1" customWidth="1"/>
    <col min="21" max="21" width="8.42578125" bestFit="1" customWidth="1"/>
    <col min="22" max="22" width="10.28515625" bestFit="1" customWidth="1"/>
    <col min="23" max="24" width="10.28515625" customWidth="1"/>
    <col min="25" max="25" width="11.28515625" customWidth="1"/>
    <col min="26" max="26" width="10.28515625" customWidth="1"/>
    <col min="27" max="27" width="12.85546875" customWidth="1"/>
    <col min="28" max="28" width="10.28515625" bestFit="1" customWidth="1"/>
    <col min="29" max="29" width="9.140625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5" max="35" width="11.7109375" bestFit="1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42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19.5" thickBot="1" x14ac:dyDescent="0.3">
      <c r="A2" s="699" t="s">
        <v>46</v>
      </c>
      <c r="B2" s="700" t="s">
        <v>47</v>
      </c>
      <c r="C2" s="701" t="s">
        <v>48</v>
      </c>
      <c r="D2" s="702" t="s">
        <v>379</v>
      </c>
      <c r="E2" s="700" t="s">
        <v>380</v>
      </c>
      <c r="F2" s="703" t="s">
        <v>49</v>
      </c>
      <c r="G2" s="700" t="s">
        <v>381</v>
      </c>
      <c r="H2" s="701" t="s">
        <v>382</v>
      </c>
      <c r="I2" s="704" t="s">
        <v>383</v>
      </c>
      <c r="J2" s="705" t="s">
        <v>384</v>
      </c>
      <c r="K2" s="701" t="s">
        <v>385</v>
      </c>
      <c r="L2" s="704" t="s">
        <v>50</v>
      </c>
      <c r="M2" s="705" t="s">
        <v>51</v>
      </c>
      <c r="N2" s="701" t="s">
        <v>52</v>
      </c>
      <c r="O2" s="702" t="s">
        <v>53</v>
      </c>
      <c r="P2" s="701" t="s">
        <v>386</v>
      </c>
      <c r="Q2" s="704" t="s">
        <v>54</v>
      </c>
      <c r="R2" s="703" t="s">
        <v>331</v>
      </c>
      <c r="S2" s="706" t="s">
        <v>55</v>
      </c>
      <c r="T2" s="701" t="s">
        <v>330</v>
      </c>
      <c r="U2" s="702" t="s">
        <v>148</v>
      </c>
      <c r="V2" s="703" t="s">
        <v>378</v>
      </c>
      <c r="W2" s="701" t="s">
        <v>406</v>
      </c>
      <c r="X2" s="701" t="s">
        <v>324</v>
      </c>
      <c r="Y2" s="701" t="s">
        <v>407</v>
      </c>
      <c r="Z2" s="701" t="s">
        <v>332</v>
      </c>
      <c r="AA2" s="700" t="s">
        <v>413</v>
      </c>
      <c r="AB2" s="701" t="s">
        <v>333</v>
      </c>
      <c r="AC2" s="702" t="s">
        <v>342</v>
      </c>
      <c r="AD2" s="701" t="s">
        <v>275</v>
      </c>
      <c r="AE2" s="704" t="s">
        <v>377</v>
      </c>
      <c r="AF2" s="705" t="s">
        <v>376</v>
      </c>
      <c r="AG2" s="707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5.75" thickBot="1" x14ac:dyDescent="0.3">
      <c r="A3" s="692">
        <v>2550.1</v>
      </c>
      <c r="B3" s="689">
        <v>44431</v>
      </c>
      <c r="C3" s="620"/>
      <c r="D3" s="841"/>
      <c r="E3" s="690"/>
      <c r="F3" s="619"/>
      <c r="G3" s="693"/>
      <c r="H3" s="694"/>
      <c r="I3" s="619"/>
      <c r="J3" s="690"/>
      <c r="K3" s="619"/>
      <c r="L3" s="855"/>
      <c r="M3" s="696" t="s">
        <v>410</v>
      </c>
      <c r="N3" s="697">
        <v>38.96</v>
      </c>
      <c r="O3" s="845">
        <f t="shared" ref="O3" si="0">AG35-AK6-AI3</f>
        <v>804.11000000000013</v>
      </c>
      <c r="P3" s="620"/>
      <c r="Q3" s="844">
        <v>50</v>
      </c>
      <c r="R3" s="698">
        <v>44382</v>
      </c>
      <c r="S3" s="858">
        <v>100</v>
      </c>
      <c r="T3" s="621">
        <v>44414</v>
      </c>
      <c r="U3" s="844">
        <v>50</v>
      </c>
      <c r="V3" s="698"/>
      <c r="W3" s="862">
        <v>100</v>
      </c>
      <c r="X3" s="698"/>
      <c r="Y3" s="862">
        <v>100</v>
      </c>
      <c r="Z3" s="621">
        <v>44407</v>
      </c>
      <c r="AA3" s="844">
        <v>50</v>
      </c>
      <c r="AB3" s="621">
        <v>44398</v>
      </c>
      <c r="AC3" s="866"/>
      <c r="AD3" s="621"/>
      <c r="AE3" s="695"/>
      <c r="AF3" s="690" t="s">
        <v>398</v>
      </c>
      <c r="AG3" s="842">
        <v>120</v>
      </c>
      <c r="AH3" s="299">
        <v>0</v>
      </c>
      <c r="AI3" s="300">
        <v>10</v>
      </c>
      <c r="AJ3" s="301">
        <f>AH6+AJ6</f>
        <v>2550.1</v>
      </c>
      <c r="AK3" s="302">
        <f>AK6+AI6</f>
        <v>3443.7999999999997</v>
      </c>
    </row>
    <row r="4" spans="1:37" ht="19.5" thickBot="1" x14ac:dyDescent="0.3">
      <c r="A4" s="659"/>
      <c r="B4" s="661"/>
      <c r="C4" s="617"/>
      <c r="D4" s="673">
        <v>121.29</v>
      </c>
      <c r="E4" s="671">
        <v>44381</v>
      </c>
      <c r="F4" s="618"/>
      <c r="G4" s="673"/>
      <c r="H4" s="676"/>
      <c r="I4" s="618"/>
      <c r="J4" s="671"/>
      <c r="K4" s="618"/>
      <c r="L4" s="856"/>
      <c r="M4" s="687"/>
      <c r="N4" s="664">
        <v>13.79</v>
      </c>
      <c r="O4" s="684"/>
      <c r="P4" s="617"/>
      <c r="Q4" s="846">
        <v>50</v>
      </c>
      <c r="R4" s="678">
        <v>44384</v>
      </c>
      <c r="S4" s="859">
        <v>100</v>
      </c>
      <c r="T4" s="615">
        <v>44417</v>
      </c>
      <c r="U4" s="846">
        <v>50</v>
      </c>
      <c r="V4" s="678"/>
      <c r="W4" s="863">
        <v>100</v>
      </c>
      <c r="X4" s="678">
        <v>44397</v>
      </c>
      <c r="Y4" s="863">
        <v>40</v>
      </c>
      <c r="Z4" s="615" t="s">
        <v>357</v>
      </c>
      <c r="AA4" s="846">
        <v>100</v>
      </c>
      <c r="AB4" s="615">
        <v>44406</v>
      </c>
      <c r="AC4" s="867"/>
      <c r="AD4" s="615"/>
      <c r="AE4" s="681"/>
      <c r="AF4" s="671">
        <v>44383</v>
      </c>
      <c r="AG4" s="843">
        <v>800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59"/>
      <c r="B5" s="661"/>
      <c r="C5" s="617"/>
      <c r="D5" s="673">
        <v>100</v>
      </c>
      <c r="E5" s="671">
        <v>44395</v>
      </c>
      <c r="F5" s="618"/>
      <c r="G5" s="673"/>
      <c r="H5" s="676"/>
      <c r="I5" s="618"/>
      <c r="J5" s="671"/>
      <c r="K5" s="618"/>
      <c r="L5" s="856"/>
      <c r="M5" s="687"/>
      <c r="N5" s="664">
        <v>14.97</v>
      </c>
      <c r="O5" s="684"/>
      <c r="P5" s="617"/>
      <c r="Q5" s="846">
        <v>100</v>
      </c>
      <c r="R5" s="678"/>
      <c r="S5" s="859"/>
      <c r="T5" s="615"/>
      <c r="U5" s="846">
        <v>50</v>
      </c>
      <c r="V5" s="678"/>
      <c r="W5" s="863">
        <v>100</v>
      </c>
      <c r="X5" s="678">
        <v>44405</v>
      </c>
      <c r="Y5" s="863"/>
      <c r="Z5" s="615"/>
      <c r="AA5" s="846">
        <v>10</v>
      </c>
      <c r="AB5" s="615">
        <v>44415</v>
      </c>
      <c r="AC5" s="867"/>
      <c r="AD5" s="615"/>
      <c r="AE5" s="681"/>
      <c r="AF5" s="671">
        <v>44394</v>
      </c>
      <c r="AG5" s="843">
        <v>800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59"/>
      <c r="B6" s="661"/>
      <c r="C6" s="617"/>
      <c r="D6" s="673"/>
      <c r="E6" s="671">
        <v>44410</v>
      </c>
      <c r="F6" s="618">
        <v>128.03</v>
      </c>
      <c r="G6" s="673"/>
      <c r="H6" s="676"/>
      <c r="I6" s="618"/>
      <c r="J6" s="671"/>
      <c r="K6" s="618"/>
      <c r="L6" s="856"/>
      <c r="M6" s="687"/>
      <c r="N6" s="664">
        <v>7.14</v>
      </c>
      <c r="O6" s="684"/>
      <c r="P6" s="617"/>
      <c r="Q6" s="846">
        <v>100</v>
      </c>
      <c r="R6" s="678">
        <v>44396</v>
      </c>
      <c r="S6" s="859"/>
      <c r="T6" s="615"/>
      <c r="U6" s="846">
        <v>10</v>
      </c>
      <c r="V6" s="678"/>
      <c r="W6" s="863">
        <v>100</v>
      </c>
      <c r="X6" s="678">
        <v>44410</v>
      </c>
      <c r="Y6" s="863"/>
      <c r="Z6" s="615"/>
      <c r="AA6" s="846"/>
      <c r="AB6" s="615"/>
      <c r="AC6" s="867"/>
      <c r="AD6" s="615"/>
      <c r="AE6" s="681"/>
      <c r="AF6" s="671">
        <v>44405</v>
      </c>
      <c r="AG6" s="843">
        <v>800</v>
      </c>
      <c r="AH6" s="612">
        <f>A35+L35</f>
        <v>2550.1</v>
      </c>
      <c r="AI6" s="317">
        <f>D35+H35+K35+N35</f>
        <v>637.91</v>
      </c>
      <c r="AJ6" s="128">
        <f>L35+C35</f>
        <v>0</v>
      </c>
      <c r="AK6" s="129">
        <f>F35+G35+I35+M35+Q35+S35+U35+W35+Y35+AA35+AC35</f>
        <v>2805.89</v>
      </c>
    </row>
    <row r="7" spans="1:37" ht="19.5" thickBot="1" x14ac:dyDescent="0.3">
      <c r="A7" s="659"/>
      <c r="B7" s="661"/>
      <c r="C7" s="617"/>
      <c r="D7" s="673">
        <v>154.88</v>
      </c>
      <c r="E7" s="671">
        <v>44422</v>
      </c>
      <c r="F7" s="618"/>
      <c r="G7" s="673"/>
      <c r="H7" s="676"/>
      <c r="I7" s="618"/>
      <c r="J7" s="671"/>
      <c r="K7" s="618"/>
      <c r="L7" s="856"/>
      <c r="M7" s="687" t="s">
        <v>421</v>
      </c>
      <c r="N7" s="664">
        <v>53</v>
      </c>
      <c r="O7" s="684"/>
      <c r="P7" s="617"/>
      <c r="Q7" s="846">
        <v>100</v>
      </c>
      <c r="R7" s="678">
        <v>44405</v>
      </c>
      <c r="S7" s="859"/>
      <c r="T7" s="615"/>
      <c r="U7" s="846">
        <v>10</v>
      </c>
      <c r="V7" s="678">
        <v>44399</v>
      </c>
      <c r="W7" s="863">
        <v>100</v>
      </c>
      <c r="X7" s="678">
        <v>44417</v>
      </c>
      <c r="Y7" s="863"/>
      <c r="Z7" s="615"/>
      <c r="AA7" s="846"/>
      <c r="AB7" s="615"/>
      <c r="AC7" s="867"/>
      <c r="AD7" s="615"/>
      <c r="AE7" s="681"/>
      <c r="AF7" s="671">
        <v>44417</v>
      </c>
      <c r="AG7" s="843">
        <v>600</v>
      </c>
      <c r="AH7" s="613" t="s">
        <v>66</v>
      </c>
      <c r="AI7" s="321" t="s">
        <v>67</v>
      </c>
    </row>
    <row r="8" spans="1:37" x14ac:dyDescent="0.25">
      <c r="A8" s="659"/>
      <c r="B8" s="661"/>
      <c r="C8" s="617"/>
      <c r="D8" s="673">
        <v>110.07</v>
      </c>
      <c r="E8" s="671">
        <v>44428</v>
      </c>
      <c r="F8" s="618"/>
      <c r="G8" s="673"/>
      <c r="H8" s="676"/>
      <c r="I8" s="618"/>
      <c r="J8" s="671"/>
      <c r="K8" s="618"/>
      <c r="L8" s="856"/>
      <c r="M8" s="687"/>
      <c r="N8" s="843"/>
      <c r="O8" s="684"/>
      <c r="P8" s="617"/>
      <c r="Q8" s="846">
        <v>100</v>
      </c>
      <c r="R8" s="678">
        <v>44408</v>
      </c>
      <c r="S8" s="860"/>
      <c r="T8" s="615"/>
      <c r="U8" s="846">
        <v>90</v>
      </c>
      <c r="V8" s="678"/>
      <c r="W8" s="863">
        <v>100</v>
      </c>
      <c r="X8" s="678">
        <v>44422</v>
      </c>
      <c r="Y8" s="863"/>
      <c r="Z8" s="615"/>
      <c r="AA8" s="846"/>
      <c r="AB8" s="615"/>
      <c r="AC8" s="867"/>
      <c r="AD8" s="615"/>
      <c r="AE8" s="681"/>
      <c r="AF8" s="671"/>
      <c r="AG8" s="843">
        <v>500</v>
      </c>
      <c r="AH8" s="326">
        <v>0</v>
      </c>
      <c r="AI8" s="327">
        <f>E35</f>
        <v>0</v>
      </c>
    </row>
    <row r="9" spans="1:37" ht="15.75" thickBot="1" x14ac:dyDescent="0.3">
      <c r="A9" s="659"/>
      <c r="B9" s="661"/>
      <c r="C9" s="617"/>
      <c r="D9" s="673"/>
      <c r="E9" s="671"/>
      <c r="F9" s="618"/>
      <c r="G9" s="673"/>
      <c r="H9" s="676"/>
      <c r="I9" s="618"/>
      <c r="J9" s="671"/>
      <c r="K9" s="618"/>
      <c r="L9" s="856"/>
      <c r="M9" s="687"/>
      <c r="N9" s="664"/>
      <c r="O9" s="684"/>
      <c r="P9" s="617"/>
      <c r="Q9" s="846">
        <v>100</v>
      </c>
      <c r="R9" s="678">
        <v>44417</v>
      </c>
      <c r="S9" s="860"/>
      <c r="T9" s="615"/>
      <c r="U9" s="846">
        <v>10</v>
      </c>
      <c r="V9" s="678">
        <v>44406</v>
      </c>
      <c r="W9" s="863"/>
      <c r="X9" s="678"/>
      <c r="Y9" s="863"/>
      <c r="Z9" s="615"/>
      <c r="AA9" s="846"/>
      <c r="AB9" s="615"/>
      <c r="AC9" s="867"/>
      <c r="AD9" s="615"/>
      <c r="AE9" s="681"/>
      <c r="AF9" s="671"/>
      <c r="AG9" s="843"/>
      <c r="AH9" s="1244">
        <f>AH8-AI8</f>
        <v>0</v>
      </c>
      <c r="AI9" s="1222"/>
    </row>
    <row r="10" spans="1:37" x14ac:dyDescent="0.25">
      <c r="A10" s="659"/>
      <c r="B10" s="661"/>
      <c r="C10" s="617"/>
      <c r="D10" s="673"/>
      <c r="E10" s="671"/>
      <c r="F10" s="618"/>
      <c r="G10" s="673"/>
      <c r="H10" s="676"/>
      <c r="I10" s="618"/>
      <c r="J10" s="671"/>
      <c r="K10" s="618"/>
      <c r="L10" s="856"/>
      <c r="M10" s="687"/>
      <c r="N10" s="664"/>
      <c r="O10" s="684"/>
      <c r="P10" s="617"/>
      <c r="Q10" s="846"/>
      <c r="R10" s="678"/>
      <c r="S10" s="860"/>
      <c r="T10" s="615"/>
      <c r="U10" s="846">
        <v>90</v>
      </c>
      <c r="V10" s="678">
        <v>44407</v>
      </c>
      <c r="W10" s="863"/>
      <c r="X10" s="678"/>
      <c r="Y10" s="863"/>
      <c r="Z10" s="615"/>
      <c r="AA10" s="663"/>
      <c r="AB10" s="615"/>
      <c r="AC10" s="868"/>
      <c r="AD10" s="615"/>
      <c r="AE10" s="681"/>
      <c r="AF10" s="671"/>
      <c r="AG10" s="843"/>
      <c r="AH10" s="610"/>
    </row>
    <row r="11" spans="1:37" x14ac:dyDescent="0.25">
      <c r="A11" s="659"/>
      <c r="B11" s="661"/>
      <c r="C11" s="617"/>
      <c r="D11" s="673"/>
      <c r="E11" s="671"/>
      <c r="F11" s="618"/>
      <c r="G11" s="673"/>
      <c r="H11" s="676"/>
      <c r="I11" s="618"/>
      <c r="J11" s="671"/>
      <c r="K11" s="618"/>
      <c r="L11" s="856"/>
      <c r="M11" s="687"/>
      <c r="N11" s="843"/>
      <c r="O11" s="684"/>
      <c r="P11" s="617"/>
      <c r="Q11" s="846"/>
      <c r="R11" s="678"/>
      <c r="S11" s="860"/>
      <c r="T11" s="615"/>
      <c r="U11" s="846">
        <v>300</v>
      </c>
      <c r="V11" s="678">
        <v>44410</v>
      </c>
      <c r="W11" s="863"/>
      <c r="X11" s="678"/>
      <c r="Y11" s="863"/>
      <c r="Z11" s="615"/>
      <c r="AA11" s="663"/>
      <c r="AB11" s="615"/>
      <c r="AC11" s="868"/>
      <c r="AD11" s="615"/>
      <c r="AE11" s="681"/>
      <c r="AF11" s="671"/>
      <c r="AG11" s="843"/>
      <c r="AH11" s="610"/>
    </row>
    <row r="12" spans="1:37" x14ac:dyDescent="0.25">
      <c r="A12" s="659"/>
      <c r="B12" s="661"/>
      <c r="C12" s="617"/>
      <c r="D12" s="673"/>
      <c r="E12" s="671"/>
      <c r="F12" s="618"/>
      <c r="G12" s="673"/>
      <c r="H12" s="676"/>
      <c r="I12" s="618"/>
      <c r="J12" s="671"/>
      <c r="K12" s="618"/>
      <c r="L12" s="856"/>
      <c r="M12" s="687"/>
      <c r="N12" s="664"/>
      <c r="O12" s="684"/>
      <c r="P12" s="617"/>
      <c r="Q12" s="846"/>
      <c r="R12" s="678"/>
      <c r="S12" s="860"/>
      <c r="T12" s="615"/>
      <c r="U12" s="846">
        <v>10</v>
      </c>
      <c r="V12" s="678">
        <v>44413</v>
      </c>
      <c r="W12" s="863"/>
      <c r="X12" s="678"/>
      <c r="Y12" s="863"/>
      <c r="Z12" s="615"/>
      <c r="AA12" s="663"/>
      <c r="AB12" s="615"/>
      <c r="AC12" s="868"/>
      <c r="AD12" s="615"/>
      <c r="AE12" s="681"/>
      <c r="AF12" s="671"/>
      <c r="AG12" s="843"/>
      <c r="AH12" s="610"/>
    </row>
    <row r="13" spans="1:37" x14ac:dyDescent="0.25">
      <c r="A13" s="659"/>
      <c r="B13" s="661"/>
      <c r="C13" s="617"/>
      <c r="D13" s="673"/>
      <c r="E13" s="671"/>
      <c r="F13" s="618"/>
      <c r="G13" s="673"/>
      <c r="H13" s="676"/>
      <c r="I13" s="618"/>
      <c r="J13" s="671"/>
      <c r="K13" s="618"/>
      <c r="L13" s="856"/>
      <c r="M13" s="687"/>
      <c r="N13" s="664"/>
      <c r="O13" s="684"/>
      <c r="P13" s="617"/>
      <c r="Q13" s="846"/>
      <c r="R13" s="678"/>
      <c r="S13" s="860"/>
      <c r="T13" s="615"/>
      <c r="U13" s="846">
        <v>90</v>
      </c>
      <c r="V13" s="678">
        <v>44414</v>
      </c>
      <c r="W13" s="863"/>
      <c r="X13" s="678"/>
      <c r="Y13" s="863"/>
      <c r="Z13" s="615"/>
      <c r="AA13" s="663"/>
      <c r="AB13" s="615"/>
      <c r="AC13" s="868"/>
      <c r="AD13" s="615"/>
      <c r="AE13" s="681"/>
      <c r="AF13" s="671"/>
      <c r="AG13" s="843"/>
      <c r="AH13" s="610"/>
    </row>
    <row r="14" spans="1:37" x14ac:dyDescent="0.25">
      <c r="A14" s="659"/>
      <c r="B14" s="661"/>
      <c r="C14" s="617"/>
      <c r="D14" s="673"/>
      <c r="E14" s="671"/>
      <c r="F14" s="618"/>
      <c r="G14" s="673"/>
      <c r="H14" s="676"/>
      <c r="I14" s="618"/>
      <c r="J14" s="671"/>
      <c r="K14" s="618"/>
      <c r="L14" s="856"/>
      <c r="M14" s="687"/>
      <c r="N14" s="664"/>
      <c r="O14" s="684"/>
      <c r="P14" s="617"/>
      <c r="Q14" s="846"/>
      <c r="R14" s="678"/>
      <c r="S14" s="860"/>
      <c r="T14" s="615"/>
      <c r="U14" s="846">
        <v>50</v>
      </c>
      <c r="V14" s="678">
        <v>44424</v>
      </c>
      <c r="W14" s="863"/>
      <c r="X14" s="678"/>
      <c r="Y14" s="863"/>
      <c r="Z14" s="615"/>
      <c r="AA14" s="663"/>
      <c r="AB14" s="615"/>
      <c r="AC14" s="868"/>
      <c r="AD14" s="615"/>
      <c r="AE14" s="681"/>
      <c r="AF14" s="671"/>
      <c r="AG14" s="664"/>
      <c r="AH14" s="610"/>
    </row>
    <row r="15" spans="1:37" x14ac:dyDescent="0.25">
      <c r="A15" s="659"/>
      <c r="B15" s="661"/>
      <c r="C15" s="617"/>
      <c r="D15" s="673"/>
      <c r="E15" s="671"/>
      <c r="F15" s="618"/>
      <c r="G15" s="673"/>
      <c r="H15" s="676"/>
      <c r="I15" s="618"/>
      <c r="J15" s="671"/>
      <c r="K15" s="618"/>
      <c r="L15" s="856"/>
      <c r="M15" s="687"/>
      <c r="N15" s="664"/>
      <c r="O15" s="684"/>
      <c r="P15" s="617"/>
      <c r="Q15" s="846"/>
      <c r="R15" s="678"/>
      <c r="S15" s="860"/>
      <c r="T15" s="615"/>
      <c r="U15" s="846">
        <v>40</v>
      </c>
      <c r="V15" s="678">
        <v>44427</v>
      </c>
      <c r="W15" s="864"/>
      <c r="X15" s="678"/>
      <c r="Y15" s="863"/>
      <c r="Z15" s="615"/>
      <c r="AA15" s="663"/>
      <c r="AB15" s="615"/>
      <c r="AC15" s="868"/>
      <c r="AD15" s="615"/>
      <c r="AE15" s="681"/>
      <c r="AF15" s="671"/>
      <c r="AG15" s="664"/>
      <c r="AH15" s="610"/>
    </row>
    <row r="16" spans="1:37" x14ac:dyDescent="0.25">
      <c r="A16" s="659"/>
      <c r="B16" s="661"/>
      <c r="C16" s="617"/>
      <c r="D16" s="673"/>
      <c r="E16" s="671"/>
      <c r="F16" s="618"/>
      <c r="G16" s="673"/>
      <c r="H16" s="676"/>
      <c r="I16" s="618"/>
      <c r="J16" s="671"/>
      <c r="K16" s="618"/>
      <c r="L16" s="856"/>
      <c r="M16" s="687"/>
      <c r="N16" s="664"/>
      <c r="O16" s="684"/>
      <c r="P16" s="617"/>
      <c r="Q16" s="846"/>
      <c r="R16" s="678"/>
      <c r="S16" s="860"/>
      <c r="T16" s="615"/>
      <c r="U16" s="846"/>
      <c r="V16" s="678"/>
      <c r="W16" s="864"/>
      <c r="X16" s="678"/>
      <c r="Y16" s="863"/>
      <c r="Z16" s="615"/>
      <c r="AA16" s="663"/>
      <c r="AB16" s="615"/>
      <c r="AC16" s="868"/>
      <c r="AD16" s="615"/>
      <c r="AE16" s="681"/>
      <c r="AF16" s="671"/>
      <c r="AG16" s="664"/>
      <c r="AH16" s="610"/>
    </row>
    <row r="17" spans="1:34" x14ac:dyDescent="0.25">
      <c r="A17" s="659"/>
      <c r="B17" s="661"/>
      <c r="C17" s="617"/>
      <c r="D17" s="673"/>
      <c r="E17" s="671"/>
      <c r="F17" s="618"/>
      <c r="G17" s="673"/>
      <c r="H17" s="676"/>
      <c r="I17" s="618"/>
      <c r="J17" s="671"/>
      <c r="K17" s="618"/>
      <c r="L17" s="856"/>
      <c r="M17" s="687"/>
      <c r="N17" s="664"/>
      <c r="O17" s="684"/>
      <c r="P17" s="617"/>
      <c r="Q17" s="846"/>
      <c r="R17" s="678"/>
      <c r="S17" s="860"/>
      <c r="T17" s="615"/>
      <c r="U17" s="846"/>
      <c r="V17" s="678"/>
      <c r="W17" s="864"/>
      <c r="X17" s="678"/>
      <c r="Y17" s="863"/>
      <c r="Z17" s="615"/>
      <c r="AA17" s="663"/>
      <c r="AB17" s="615"/>
      <c r="AC17" s="868"/>
      <c r="AD17" s="615"/>
      <c r="AE17" s="681"/>
      <c r="AF17" s="671"/>
      <c r="AG17" s="664"/>
      <c r="AH17" s="610"/>
    </row>
    <row r="18" spans="1:34" x14ac:dyDescent="0.25">
      <c r="A18" s="659"/>
      <c r="B18" s="661"/>
      <c r="C18" s="617"/>
      <c r="D18" s="673"/>
      <c r="E18" s="671"/>
      <c r="F18" s="618"/>
      <c r="G18" s="673"/>
      <c r="H18" s="676"/>
      <c r="I18" s="618"/>
      <c r="J18" s="671"/>
      <c r="K18" s="618"/>
      <c r="L18" s="856"/>
      <c r="M18" s="687"/>
      <c r="N18" s="664"/>
      <c r="O18" s="684"/>
      <c r="P18" s="617"/>
      <c r="Q18" s="846"/>
      <c r="R18" s="678"/>
      <c r="S18" s="860"/>
      <c r="T18" s="615"/>
      <c r="U18" s="846"/>
      <c r="V18" s="678"/>
      <c r="W18" s="864"/>
      <c r="X18" s="678"/>
      <c r="Y18" s="864"/>
      <c r="Z18" s="615"/>
      <c r="AA18" s="663"/>
      <c r="AB18" s="615"/>
      <c r="AC18" s="868"/>
      <c r="AD18" s="615"/>
      <c r="AE18" s="681"/>
      <c r="AF18" s="671"/>
      <c r="AG18" s="664"/>
      <c r="AH18" s="610"/>
    </row>
    <row r="19" spans="1:34" x14ac:dyDescent="0.25">
      <c r="A19" s="659"/>
      <c r="B19" s="661"/>
      <c r="C19" s="617"/>
      <c r="D19" s="673"/>
      <c r="E19" s="671"/>
      <c r="F19" s="618"/>
      <c r="G19" s="673"/>
      <c r="H19" s="676"/>
      <c r="I19" s="618"/>
      <c r="J19" s="671"/>
      <c r="K19" s="618"/>
      <c r="L19" s="856"/>
      <c r="M19" s="687"/>
      <c r="N19" s="664"/>
      <c r="O19" s="684"/>
      <c r="P19" s="617"/>
      <c r="Q19" s="846"/>
      <c r="R19" s="678"/>
      <c r="S19" s="860"/>
      <c r="T19" s="615"/>
      <c r="U19" s="846"/>
      <c r="V19" s="678"/>
      <c r="W19" s="864"/>
      <c r="X19" s="678"/>
      <c r="Y19" s="864"/>
      <c r="Z19" s="615"/>
      <c r="AA19" s="663"/>
      <c r="AB19" s="615"/>
      <c r="AC19" s="868"/>
      <c r="AD19" s="615"/>
      <c r="AE19" s="681"/>
      <c r="AF19" s="671"/>
      <c r="AG19" s="664"/>
      <c r="AH19" s="614"/>
    </row>
    <row r="20" spans="1:34" x14ac:dyDescent="0.25">
      <c r="A20" s="659"/>
      <c r="B20" s="661"/>
      <c r="C20" s="617"/>
      <c r="D20" s="673"/>
      <c r="E20" s="671"/>
      <c r="F20" s="618"/>
      <c r="G20" s="673"/>
      <c r="H20" s="676"/>
      <c r="I20" s="618"/>
      <c r="J20" s="671"/>
      <c r="K20" s="618"/>
      <c r="L20" s="856"/>
      <c r="M20" s="687"/>
      <c r="N20" s="664"/>
      <c r="O20" s="684"/>
      <c r="P20" s="617"/>
      <c r="Q20" s="846"/>
      <c r="R20" s="678"/>
      <c r="S20" s="860"/>
      <c r="T20" s="615"/>
      <c r="U20" s="846"/>
      <c r="V20" s="678"/>
      <c r="W20" s="864"/>
      <c r="X20" s="678"/>
      <c r="Y20" s="864"/>
      <c r="Z20" s="615"/>
      <c r="AA20" s="663"/>
      <c r="AB20" s="615"/>
      <c r="AC20" s="868"/>
      <c r="AD20" s="615"/>
      <c r="AE20" s="681"/>
      <c r="AF20" s="671"/>
      <c r="AG20" s="664"/>
      <c r="AH20" s="614"/>
    </row>
    <row r="21" spans="1:34" x14ac:dyDescent="0.25">
      <c r="A21" s="659"/>
      <c r="B21" s="661"/>
      <c r="C21" s="617"/>
      <c r="D21" s="673"/>
      <c r="E21" s="671"/>
      <c r="F21" s="618"/>
      <c r="G21" s="673"/>
      <c r="H21" s="676"/>
      <c r="I21" s="618"/>
      <c r="J21" s="671"/>
      <c r="K21" s="618"/>
      <c r="L21" s="856"/>
      <c r="M21" s="687"/>
      <c r="N21" s="664"/>
      <c r="O21" s="684"/>
      <c r="P21" s="617"/>
      <c r="Q21" s="846"/>
      <c r="R21" s="678"/>
      <c r="S21" s="860"/>
      <c r="T21" s="615"/>
      <c r="U21" s="846"/>
      <c r="V21" s="678"/>
      <c r="W21" s="864"/>
      <c r="X21" s="678"/>
      <c r="Y21" s="864"/>
      <c r="Z21" s="615"/>
      <c r="AA21" s="663"/>
      <c r="AB21" s="615"/>
      <c r="AC21" s="868"/>
      <c r="AD21" s="615"/>
      <c r="AE21" s="681"/>
      <c r="AF21" s="671"/>
      <c r="AG21" s="664"/>
      <c r="AH21" s="614"/>
    </row>
    <row r="22" spans="1:34" x14ac:dyDescent="0.25">
      <c r="A22" s="659"/>
      <c r="B22" s="661"/>
      <c r="C22" s="617"/>
      <c r="D22" s="673"/>
      <c r="E22" s="671"/>
      <c r="F22" s="618"/>
      <c r="G22" s="673"/>
      <c r="H22" s="676"/>
      <c r="I22" s="618"/>
      <c r="J22" s="671"/>
      <c r="K22" s="618"/>
      <c r="L22" s="856"/>
      <c r="M22" s="687"/>
      <c r="N22" s="664"/>
      <c r="O22" s="684"/>
      <c r="P22" s="617"/>
      <c r="Q22" s="846"/>
      <c r="R22" s="678"/>
      <c r="S22" s="860"/>
      <c r="T22" s="615"/>
      <c r="U22" s="846"/>
      <c r="V22" s="678"/>
      <c r="W22" s="864"/>
      <c r="X22" s="678"/>
      <c r="Y22" s="864"/>
      <c r="Z22" s="615"/>
      <c r="AA22" s="663"/>
      <c r="AB22" s="615"/>
      <c r="AC22" s="868"/>
      <c r="AD22" s="615"/>
      <c r="AE22" s="681"/>
      <c r="AF22" s="671"/>
      <c r="AG22" s="664"/>
      <c r="AH22" s="614"/>
    </row>
    <row r="23" spans="1:34" x14ac:dyDescent="0.25">
      <c r="A23" s="659"/>
      <c r="B23" s="661"/>
      <c r="C23" s="617"/>
      <c r="D23" s="673"/>
      <c r="E23" s="671"/>
      <c r="F23" s="618"/>
      <c r="G23" s="673"/>
      <c r="H23" s="676"/>
      <c r="I23" s="618"/>
      <c r="J23" s="671"/>
      <c r="K23" s="618"/>
      <c r="L23" s="856"/>
      <c r="M23" s="687"/>
      <c r="N23" s="664"/>
      <c r="O23" s="684"/>
      <c r="P23" s="617"/>
      <c r="Q23" s="846"/>
      <c r="R23" s="678"/>
      <c r="S23" s="860"/>
      <c r="T23" s="615"/>
      <c r="U23" s="846"/>
      <c r="V23" s="678"/>
      <c r="W23" s="864"/>
      <c r="X23" s="678"/>
      <c r="Y23" s="864"/>
      <c r="Z23" s="615"/>
      <c r="AA23" s="663"/>
      <c r="AB23" s="615"/>
      <c r="AC23" s="868"/>
      <c r="AD23" s="615"/>
      <c r="AE23" s="681"/>
      <c r="AF23" s="671"/>
      <c r="AG23" s="664"/>
      <c r="AH23" s="614"/>
    </row>
    <row r="24" spans="1:34" x14ac:dyDescent="0.25">
      <c r="A24" s="659"/>
      <c r="B24" s="661"/>
      <c r="C24" s="617"/>
      <c r="D24" s="673"/>
      <c r="E24" s="671"/>
      <c r="F24" s="618"/>
      <c r="G24" s="673"/>
      <c r="H24" s="676"/>
      <c r="I24" s="618"/>
      <c r="J24" s="671"/>
      <c r="K24" s="618"/>
      <c r="L24" s="856"/>
      <c r="M24" s="687"/>
      <c r="N24" s="664"/>
      <c r="O24" s="684"/>
      <c r="P24" s="617"/>
      <c r="Q24" s="846"/>
      <c r="R24" s="678"/>
      <c r="S24" s="860"/>
      <c r="T24" s="615"/>
      <c r="U24" s="846"/>
      <c r="V24" s="678"/>
      <c r="W24" s="864"/>
      <c r="X24" s="678"/>
      <c r="Y24" s="864"/>
      <c r="Z24" s="615"/>
      <c r="AA24" s="663"/>
      <c r="AB24" s="615"/>
      <c r="AC24" s="868"/>
      <c r="AD24" s="615"/>
      <c r="AE24" s="681"/>
      <c r="AF24" s="671"/>
      <c r="AG24" s="664"/>
      <c r="AH24" s="614"/>
    </row>
    <row r="25" spans="1:34" x14ac:dyDescent="0.25">
      <c r="A25" s="659"/>
      <c r="B25" s="661"/>
      <c r="C25" s="617"/>
      <c r="D25" s="673"/>
      <c r="E25" s="671"/>
      <c r="F25" s="618"/>
      <c r="G25" s="673"/>
      <c r="H25" s="676"/>
      <c r="I25" s="618"/>
      <c r="J25" s="671"/>
      <c r="K25" s="618"/>
      <c r="L25" s="856"/>
      <c r="M25" s="687"/>
      <c r="N25" s="664"/>
      <c r="O25" s="684"/>
      <c r="P25" s="617"/>
      <c r="Q25" s="846"/>
      <c r="R25" s="678"/>
      <c r="S25" s="860"/>
      <c r="T25" s="615"/>
      <c r="U25" s="846"/>
      <c r="V25" s="678"/>
      <c r="W25" s="864"/>
      <c r="X25" s="678"/>
      <c r="Y25" s="864"/>
      <c r="Z25" s="615"/>
      <c r="AA25" s="663"/>
      <c r="AB25" s="615"/>
      <c r="AC25" s="868"/>
      <c r="AD25" s="615"/>
      <c r="AE25" s="681"/>
      <c r="AF25" s="671"/>
      <c r="AG25" s="664"/>
      <c r="AH25" s="614"/>
    </row>
    <row r="26" spans="1:34" x14ac:dyDescent="0.25">
      <c r="A26" s="659"/>
      <c r="B26" s="661"/>
      <c r="C26" s="617"/>
      <c r="D26" s="673"/>
      <c r="E26" s="671"/>
      <c r="F26" s="618"/>
      <c r="G26" s="673"/>
      <c r="H26" s="676"/>
      <c r="I26" s="618"/>
      <c r="J26" s="671"/>
      <c r="K26" s="618"/>
      <c r="L26" s="856"/>
      <c r="M26" s="687"/>
      <c r="N26" s="664"/>
      <c r="O26" s="684"/>
      <c r="P26" s="617"/>
      <c r="Q26" s="846"/>
      <c r="R26" s="678"/>
      <c r="S26" s="860"/>
      <c r="T26" s="615"/>
      <c r="U26" s="846"/>
      <c r="V26" s="678"/>
      <c r="W26" s="864"/>
      <c r="X26" s="678"/>
      <c r="Y26" s="864"/>
      <c r="Z26" s="615"/>
      <c r="AA26" s="663"/>
      <c r="AB26" s="615"/>
      <c r="AC26" s="868"/>
      <c r="AD26" s="615"/>
      <c r="AE26" s="681"/>
      <c r="AF26" s="671"/>
      <c r="AG26" s="664"/>
      <c r="AH26" s="614"/>
    </row>
    <row r="27" spans="1:34" x14ac:dyDescent="0.25">
      <c r="A27" s="659"/>
      <c r="B27" s="661"/>
      <c r="C27" s="617"/>
      <c r="D27" s="673"/>
      <c r="E27" s="671"/>
      <c r="F27" s="618"/>
      <c r="G27" s="673"/>
      <c r="H27" s="676"/>
      <c r="I27" s="618"/>
      <c r="J27" s="671"/>
      <c r="K27" s="618"/>
      <c r="L27" s="856"/>
      <c r="M27" s="687"/>
      <c r="N27" s="664">
        <v>18.98</v>
      </c>
      <c r="O27" s="684"/>
      <c r="P27" s="617"/>
      <c r="Q27" s="846"/>
      <c r="R27" s="678"/>
      <c r="S27" s="860"/>
      <c r="T27" s="615"/>
      <c r="U27" s="846"/>
      <c r="V27" s="678"/>
      <c r="W27" s="864"/>
      <c r="X27" s="678"/>
      <c r="Y27" s="864"/>
      <c r="Z27" s="615"/>
      <c r="AA27" s="663"/>
      <c r="AB27" s="615"/>
      <c r="AC27" s="868"/>
      <c r="AD27" s="615"/>
      <c r="AE27" s="681"/>
      <c r="AF27" s="671"/>
      <c r="AG27" s="664"/>
      <c r="AH27" s="614"/>
    </row>
    <row r="28" spans="1:34" x14ac:dyDescent="0.25">
      <c r="A28" s="659"/>
      <c r="B28" s="661"/>
      <c r="C28" s="617"/>
      <c r="D28" s="673"/>
      <c r="E28" s="671"/>
      <c r="F28" s="618"/>
      <c r="G28" s="673"/>
      <c r="H28" s="676"/>
      <c r="I28" s="618"/>
      <c r="J28" s="671"/>
      <c r="K28" s="618"/>
      <c r="L28" s="856"/>
      <c r="M28" s="687"/>
      <c r="N28" s="664">
        <v>21.18</v>
      </c>
      <c r="O28" s="684"/>
      <c r="P28" s="617"/>
      <c r="Q28" s="846"/>
      <c r="R28" s="678"/>
      <c r="S28" s="860"/>
      <c r="T28" s="615"/>
      <c r="U28" s="846"/>
      <c r="V28" s="678"/>
      <c r="W28" s="864"/>
      <c r="X28" s="678"/>
      <c r="Y28" s="864"/>
      <c r="Z28" s="615"/>
      <c r="AA28" s="663"/>
      <c r="AB28" s="615"/>
      <c r="AC28" s="868"/>
      <c r="AD28" s="615"/>
      <c r="AE28" s="681"/>
      <c r="AF28" s="671"/>
      <c r="AG28" s="664"/>
      <c r="AH28" s="614"/>
    </row>
    <row r="29" spans="1:34" x14ac:dyDescent="0.25">
      <c r="A29" s="659"/>
      <c r="B29" s="661"/>
      <c r="C29" s="617"/>
      <c r="D29" s="673"/>
      <c r="E29" s="671"/>
      <c r="F29" s="618"/>
      <c r="G29" s="673"/>
      <c r="H29" s="676"/>
      <c r="I29" s="618"/>
      <c r="J29" s="671"/>
      <c r="K29" s="618"/>
      <c r="L29" s="856"/>
      <c r="M29" s="687"/>
      <c r="N29" s="664">
        <v>41.08</v>
      </c>
      <c r="O29" s="684"/>
      <c r="P29" s="617"/>
      <c r="Q29" s="846"/>
      <c r="R29" s="678"/>
      <c r="S29" s="860"/>
      <c r="T29" s="615"/>
      <c r="U29" s="846"/>
      <c r="V29" s="678"/>
      <c r="W29" s="864"/>
      <c r="X29" s="678"/>
      <c r="Y29" s="864"/>
      <c r="Z29" s="615"/>
      <c r="AA29" s="663"/>
      <c r="AB29" s="615"/>
      <c r="AC29" s="868"/>
      <c r="AD29" s="615"/>
      <c r="AE29" s="681"/>
      <c r="AF29" s="671"/>
      <c r="AG29" s="664"/>
      <c r="AH29" s="614"/>
    </row>
    <row r="30" spans="1:34" x14ac:dyDescent="0.25">
      <c r="A30" s="659"/>
      <c r="B30" s="661"/>
      <c r="C30" s="617"/>
      <c r="D30" s="673"/>
      <c r="E30" s="671"/>
      <c r="F30" s="618"/>
      <c r="G30" s="673"/>
      <c r="H30" s="676"/>
      <c r="I30" s="618"/>
      <c r="J30" s="671"/>
      <c r="K30" s="618"/>
      <c r="L30" s="856"/>
      <c r="M30" s="687"/>
      <c r="N30" s="664">
        <v>19.28</v>
      </c>
      <c r="O30" s="684"/>
      <c r="P30" s="617"/>
      <c r="Q30" s="846"/>
      <c r="R30" s="678"/>
      <c r="S30" s="860"/>
      <c r="T30" s="615"/>
      <c r="U30" s="846"/>
      <c r="V30" s="678"/>
      <c r="W30" s="864"/>
      <c r="X30" s="678"/>
      <c r="Y30" s="864"/>
      <c r="Z30" s="615"/>
      <c r="AA30" s="663"/>
      <c r="AB30" s="615"/>
      <c r="AC30" s="868"/>
      <c r="AD30" s="615"/>
      <c r="AE30" s="681"/>
      <c r="AF30" s="671"/>
      <c r="AG30" s="664"/>
      <c r="AH30" s="614"/>
    </row>
    <row r="31" spans="1:34" x14ac:dyDescent="0.25">
      <c r="A31" s="659"/>
      <c r="B31" s="661"/>
      <c r="C31" s="617"/>
      <c r="D31" s="673"/>
      <c r="E31" s="671"/>
      <c r="F31" s="618"/>
      <c r="G31" s="673"/>
      <c r="H31" s="676"/>
      <c r="I31" s="618"/>
      <c r="J31" s="671"/>
      <c r="K31" s="618"/>
      <c r="L31" s="856"/>
      <c r="M31" s="687"/>
      <c r="N31" s="664">
        <v>51.15</v>
      </c>
      <c r="O31" s="684"/>
      <c r="P31" s="617"/>
      <c r="Q31" s="846"/>
      <c r="R31" s="678"/>
      <c r="S31" s="860"/>
      <c r="T31" s="615"/>
      <c r="U31" s="846"/>
      <c r="V31" s="678"/>
      <c r="W31" s="864"/>
      <c r="X31" s="678"/>
      <c r="Y31" s="864"/>
      <c r="Z31" s="615"/>
      <c r="AA31" s="663"/>
      <c r="AB31" s="615"/>
      <c r="AC31" s="868"/>
      <c r="AD31" s="615"/>
      <c r="AE31" s="681"/>
      <c r="AF31" s="671"/>
      <c r="AG31" s="664"/>
      <c r="AH31" s="614"/>
    </row>
    <row r="32" spans="1:34" x14ac:dyDescent="0.25">
      <c r="A32" s="659"/>
      <c r="B32" s="661"/>
      <c r="C32" s="617"/>
      <c r="D32" s="673"/>
      <c r="E32" s="671"/>
      <c r="F32" s="618"/>
      <c r="G32" s="673"/>
      <c r="H32" s="676"/>
      <c r="I32" s="618"/>
      <c r="J32" s="671"/>
      <c r="K32" s="618"/>
      <c r="L32" s="856"/>
      <c r="M32" s="687"/>
      <c r="N32" s="664"/>
      <c r="O32" s="684"/>
      <c r="P32" s="617"/>
      <c r="Q32" s="846"/>
      <c r="R32" s="678"/>
      <c r="S32" s="860"/>
      <c r="T32" s="615"/>
      <c r="U32" s="846"/>
      <c r="V32" s="678"/>
      <c r="W32" s="864"/>
      <c r="X32" s="678"/>
      <c r="Y32" s="864"/>
      <c r="Z32" s="615"/>
      <c r="AA32" s="663"/>
      <c r="AB32" s="615"/>
      <c r="AC32" s="868"/>
      <c r="AD32" s="615"/>
      <c r="AE32" s="681"/>
      <c r="AF32" s="671"/>
      <c r="AG32" s="664"/>
      <c r="AH32" s="614"/>
    </row>
    <row r="33" spans="1:34" ht="15.75" thickBot="1" x14ac:dyDescent="0.3">
      <c r="A33" s="660"/>
      <c r="B33" s="662"/>
      <c r="C33" s="667"/>
      <c r="D33" s="674"/>
      <c r="E33" s="672"/>
      <c r="F33" s="675"/>
      <c r="G33" s="674"/>
      <c r="H33" s="677"/>
      <c r="I33" s="624"/>
      <c r="J33" s="691"/>
      <c r="K33" s="624"/>
      <c r="L33" s="857"/>
      <c r="M33" s="688"/>
      <c r="N33" s="666"/>
      <c r="O33" s="686"/>
      <c r="P33" s="623"/>
      <c r="Q33" s="854"/>
      <c r="R33" s="679"/>
      <c r="S33" s="861"/>
      <c r="T33" s="616"/>
      <c r="U33" s="854"/>
      <c r="V33" s="679"/>
      <c r="W33" s="865"/>
      <c r="X33" s="679"/>
      <c r="Y33" s="865"/>
      <c r="Z33" s="680"/>
      <c r="AA33" s="665"/>
      <c r="AB33" s="680"/>
      <c r="AC33" s="869"/>
      <c r="AD33" s="680"/>
      <c r="AE33" s="682"/>
      <c r="AF33" s="683"/>
      <c r="AG33" s="666"/>
      <c r="AH33" s="614"/>
    </row>
    <row r="34" spans="1:34" ht="15.75" thickBot="1" x14ac:dyDescent="0.3">
      <c r="A34" s="1285" t="s">
        <v>102</v>
      </c>
      <c r="B34" s="1284"/>
      <c r="C34" s="1284"/>
      <c r="D34" s="668" t="s">
        <v>411</v>
      </c>
      <c r="E34" s="669" t="s">
        <v>61</v>
      </c>
      <c r="F34" s="670" t="s">
        <v>103</v>
      </c>
      <c r="G34" s="1285" t="s">
        <v>103</v>
      </c>
      <c r="H34" s="1284"/>
      <c r="I34" s="1305" t="s">
        <v>102</v>
      </c>
      <c r="J34" s="1287"/>
      <c r="K34" s="1287"/>
      <c r="L34" s="1306" t="s">
        <v>102</v>
      </c>
      <c r="M34" s="1284"/>
      <c r="N34" s="1284"/>
      <c r="O34" s="1305" t="s">
        <v>104</v>
      </c>
      <c r="P34" s="1307"/>
      <c r="Q34" s="1276" t="s">
        <v>104</v>
      </c>
      <c r="R34" s="1299"/>
      <c r="S34" s="1276" t="s">
        <v>104</v>
      </c>
      <c r="T34" s="1299"/>
      <c r="U34" s="1276" t="s">
        <v>104</v>
      </c>
      <c r="V34" s="1304"/>
      <c r="W34" s="1308"/>
      <c r="X34" s="1309"/>
      <c r="Y34" s="1308"/>
      <c r="Z34" s="1309"/>
      <c r="AA34" s="1285" t="s">
        <v>102</v>
      </c>
      <c r="AB34" s="1304"/>
      <c r="AC34" s="1276" t="s">
        <v>102</v>
      </c>
      <c r="AD34" s="1304"/>
      <c r="AE34" s="1283" t="s">
        <v>102</v>
      </c>
      <c r="AF34" s="1284"/>
      <c r="AG34" s="1304"/>
      <c r="AH34" s="614"/>
    </row>
    <row r="35" spans="1:34" x14ac:dyDescent="0.25">
      <c r="A35" s="872">
        <f>SUM(A3:A33)</f>
        <v>2550.1</v>
      </c>
      <c r="B35" s="626"/>
      <c r="C35" s="627">
        <f>SUM(C3:C33)</f>
        <v>0</v>
      </c>
      <c r="D35" s="871">
        <f>SUM(D3:D33)</f>
        <v>486.24</v>
      </c>
      <c r="E35" s="629">
        <v>0</v>
      </c>
      <c r="F35" s="870">
        <f>SUM(F3:F33)</f>
        <v>128.03</v>
      </c>
      <c r="G35" s="628">
        <f>SUM(G3:G33)</f>
        <v>0</v>
      </c>
      <c r="H35" s="630">
        <f>SUM(H3:H33)</f>
        <v>0</v>
      </c>
      <c r="I35" s="628">
        <f>SUM(I3:I33)</f>
        <v>0</v>
      </c>
      <c r="J35" s="629"/>
      <c r="K35" s="630">
        <f>SUM(K3:K33)</f>
        <v>0</v>
      </c>
      <c r="L35" s="631">
        <f>SUM(L3:L33)</f>
        <v>0</v>
      </c>
      <c r="M35" s="873">
        <f>N3+N4+N5+N6+N7+N8+N9+N10</f>
        <v>127.86</v>
      </c>
      <c r="N35" s="870">
        <f>N27+N28+N29+N30+N31+N32+N33</f>
        <v>151.66999999999999</v>
      </c>
      <c r="O35" s="871">
        <f>O3+O5</f>
        <v>804.11000000000013</v>
      </c>
      <c r="P35" s="632" t="s">
        <v>395</v>
      </c>
      <c r="Q35" s="880">
        <f>SUM(Q3:Q33)</f>
        <v>600</v>
      </c>
      <c r="R35" s="884" t="s">
        <v>395</v>
      </c>
      <c r="S35" s="880">
        <f>SUM(S3:S33)</f>
        <v>200</v>
      </c>
      <c r="T35" s="884" t="s">
        <v>395</v>
      </c>
      <c r="U35" s="880">
        <f>SUM(U3:U33)</f>
        <v>850</v>
      </c>
      <c r="V35" s="889" t="s">
        <v>395</v>
      </c>
      <c r="W35" s="881">
        <f>SUM(W3:W33)</f>
        <v>600</v>
      </c>
      <c r="X35" s="890" t="s">
        <v>395</v>
      </c>
      <c r="Y35" s="847">
        <f>SUM(Y3:Y33)</f>
        <v>140</v>
      </c>
      <c r="Z35" s="847" t="s">
        <v>395</v>
      </c>
      <c r="AA35" s="628">
        <f>SUM(AA3:AA33)</f>
        <v>160</v>
      </c>
      <c r="AB35" s="630" t="s">
        <v>395</v>
      </c>
      <c r="AC35" s="880">
        <f>SUM(AC3:AC33)</f>
        <v>0</v>
      </c>
      <c r="AD35" s="630" t="s">
        <v>395</v>
      </c>
      <c r="AE35" s="631">
        <f>SUM(AE3:AE33)</f>
        <v>0</v>
      </c>
      <c r="AF35" s="629"/>
      <c r="AG35" s="633">
        <f>SUM(AG3:AG33)</f>
        <v>3620</v>
      </c>
      <c r="AH35" s="614"/>
    </row>
    <row r="36" spans="1:34" x14ac:dyDescent="0.25">
      <c r="A36" s="634"/>
      <c r="B36" s="635"/>
      <c r="C36" s="636"/>
      <c r="D36" s="634"/>
      <c r="E36" s="635"/>
      <c r="F36" s="636"/>
      <c r="G36" s="634"/>
      <c r="H36" s="636"/>
      <c r="I36" s="634"/>
      <c r="J36" s="635"/>
      <c r="K36" s="636"/>
      <c r="L36" s="634"/>
      <c r="M36" s="635" t="s">
        <v>49</v>
      </c>
      <c r="N36" s="636" t="s">
        <v>46</v>
      </c>
      <c r="O36" s="883">
        <v>300</v>
      </c>
      <c r="P36" s="636" t="s">
        <v>416</v>
      </c>
      <c r="Q36" s="883">
        <v>400</v>
      </c>
      <c r="R36" s="636" t="s">
        <v>416</v>
      </c>
      <c r="S36" s="883">
        <v>0</v>
      </c>
      <c r="T36" s="636" t="s">
        <v>416</v>
      </c>
      <c r="U36" s="883">
        <v>660</v>
      </c>
      <c r="V36" s="637" t="s">
        <v>416</v>
      </c>
      <c r="W36" s="886">
        <v>300</v>
      </c>
      <c r="X36" s="891" t="s">
        <v>416</v>
      </c>
      <c r="Y36" s="932">
        <v>100</v>
      </c>
      <c r="Z36" s="848" t="s">
        <v>416</v>
      </c>
      <c r="AA36" s="930">
        <v>150</v>
      </c>
      <c r="AB36" s="636" t="s">
        <v>416</v>
      </c>
      <c r="AC36" s="634"/>
      <c r="AD36" s="636" t="s">
        <v>416</v>
      </c>
      <c r="AE36" s="634"/>
      <c r="AF36" s="635"/>
      <c r="AG36" s="637"/>
      <c r="AH36" s="614"/>
    </row>
    <row r="37" spans="1:34" ht="15.75" thickBot="1" x14ac:dyDescent="0.3">
      <c r="A37" s="638"/>
      <c r="B37" s="639"/>
      <c r="C37" s="640"/>
      <c r="D37" s="638"/>
      <c r="E37" s="639"/>
      <c r="F37" s="640"/>
      <c r="G37" s="638"/>
      <c r="H37" s="640"/>
      <c r="I37" s="638"/>
      <c r="J37" s="639"/>
      <c r="K37" s="640"/>
      <c r="L37" s="638"/>
      <c r="M37" s="639"/>
      <c r="N37" s="640"/>
      <c r="O37" s="882">
        <f>O35-O36</f>
        <v>504.11000000000013</v>
      </c>
      <c r="P37" s="640" t="s">
        <v>417</v>
      </c>
      <c r="Q37" s="885">
        <f>Q35-Q36</f>
        <v>200</v>
      </c>
      <c r="R37" s="640" t="s">
        <v>417</v>
      </c>
      <c r="S37" s="885">
        <f>S35-S36</f>
        <v>200</v>
      </c>
      <c r="T37" s="640" t="s">
        <v>417</v>
      </c>
      <c r="U37" s="885">
        <f>U35-U36</f>
        <v>190</v>
      </c>
      <c r="V37" s="641" t="s">
        <v>417</v>
      </c>
      <c r="W37" s="887">
        <f>W35-W36</f>
        <v>300</v>
      </c>
      <c r="X37" s="892" t="s">
        <v>417</v>
      </c>
      <c r="Y37" s="933">
        <f>Y35-Y36</f>
        <v>40</v>
      </c>
      <c r="Z37" s="849" t="s">
        <v>417</v>
      </c>
      <c r="AA37" s="931">
        <f>AA35-AA36</f>
        <v>10</v>
      </c>
      <c r="AB37" s="640" t="s">
        <v>417</v>
      </c>
      <c r="AC37" s="638"/>
      <c r="AD37" s="640" t="s">
        <v>417</v>
      </c>
      <c r="AE37" s="638"/>
      <c r="AF37" s="639"/>
      <c r="AG37" s="641"/>
      <c r="AH37" s="614"/>
    </row>
    <row r="38" spans="1:34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/>
      <c r="P38" s="610"/>
      <c r="Q38" s="888">
        <v>88</v>
      </c>
      <c r="R38" s="614" t="s">
        <v>359</v>
      </c>
      <c r="S38" s="610"/>
      <c r="T38" s="610"/>
      <c r="U38" s="610"/>
      <c r="V38" s="610"/>
      <c r="W38" s="610"/>
      <c r="X38" s="610"/>
      <c r="Y38" s="610"/>
      <c r="Z38" s="610"/>
      <c r="AA38" s="610"/>
      <c r="AB38" s="610"/>
      <c r="AC38" s="610"/>
      <c r="AD38" s="610"/>
      <c r="AE38" s="610"/>
      <c r="AF38" s="610"/>
      <c r="AG38" s="610"/>
    </row>
    <row r="39" spans="1:34" x14ac:dyDescent="0.25">
      <c r="Q39" s="36">
        <v>2020</v>
      </c>
      <c r="R39" s="30" t="s">
        <v>358</v>
      </c>
    </row>
    <row r="40" spans="1:34" x14ac:dyDescent="0.25">
      <c r="Q40" s="36">
        <v>975</v>
      </c>
      <c r="R40" s="30" t="s">
        <v>356</v>
      </c>
    </row>
    <row r="41" spans="1:34" x14ac:dyDescent="0.25">
      <c r="Q41" s="36">
        <v>10000</v>
      </c>
      <c r="R41" s="30" t="s">
        <v>49</v>
      </c>
    </row>
    <row r="42" spans="1:34" x14ac:dyDescent="0.25">
      <c r="Q42" s="36">
        <v>30000</v>
      </c>
      <c r="R42" s="36" t="s">
        <v>357</v>
      </c>
    </row>
    <row r="43" spans="1:34" x14ac:dyDescent="0.25">
      <c r="Q43" s="879">
        <v>33745</v>
      </c>
      <c r="R43" s="30" t="s">
        <v>103</v>
      </c>
    </row>
    <row r="44" spans="1:34" x14ac:dyDescent="0.25">
      <c r="Q44">
        <v>750</v>
      </c>
      <c r="R44" t="s">
        <v>392</v>
      </c>
    </row>
    <row r="45" spans="1:34" x14ac:dyDescent="0.25">
      <c r="Q45">
        <v>25</v>
      </c>
      <c r="R45" s="827" t="s">
        <v>251</v>
      </c>
    </row>
    <row r="46" spans="1:34" x14ac:dyDescent="0.25">
      <c r="Q46">
        <v>-10000</v>
      </c>
      <c r="R46" s="827">
        <v>44350</v>
      </c>
    </row>
    <row r="47" spans="1:34" x14ac:dyDescent="0.25">
      <c r="Q47">
        <v>500</v>
      </c>
      <c r="R47" t="s">
        <v>399</v>
      </c>
    </row>
    <row r="48" spans="1:34" x14ac:dyDescent="0.25">
      <c r="Q48">
        <v>1100</v>
      </c>
      <c r="R48" t="s">
        <v>400</v>
      </c>
    </row>
    <row r="49" spans="17:17" x14ac:dyDescent="0.25">
      <c r="Q49">
        <v>1500</v>
      </c>
    </row>
    <row r="50" spans="17:17" x14ac:dyDescent="0.25">
      <c r="Q50" s="929">
        <v>80</v>
      </c>
    </row>
  </sheetData>
  <mergeCells count="25">
    <mergeCell ref="A1:F1"/>
    <mergeCell ref="G1:H1"/>
    <mergeCell ref="I1:K1"/>
    <mergeCell ref="L1:N1"/>
    <mergeCell ref="O1:P1"/>
    <mergeCell ref="Q34:R34"/>
    <mergeCell ref="AE1:AG1"/>
    <mergeCell ref="AH1:AI1"/>
    <mergeCell ref="AJ1:AK1"/>
    <mergeCell ref="AH4:AI4"/>
    <mergeCell ref="AJ4:AK4"/>
    <mergeCell ref="AH9:AI9"/>
    <mergeCell ref="Q1:AD1"/>
    <mergeCell ref="AE34:AG34"/>
    <mergeCell ref="S34:T34"/>
    <mergeCell ref="U34:V34"/>
    <mergeCell ref="W34:X34"/>
    <mergeCell ref="Y34:Z34"/>
    <mergeCell ref="AA34:AB34"/>
    <mergeCell ref="AC34:AD34"/>
    <mergeCell ref="A34:C34"/>
    <mergeCell ref="G34:H34"/>
    <mergeCell ref="I34:K34"/>
    <mergeCell ref="L34:N34"/>
    <mergeCell ref="O34:P34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662085-C0CF-B244-9B05-89AA2CBD583E}">
  <dimension ref="A1:AK48"/>
  <sheetViews>
    <sheetView topLeftCell="M1" zoomScaleNormal="60" zoomScaleSheetLayoutView="100" workbookViewId="0">
      <selection activeCell="M16" sqref="M16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9.5703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9.7109375" bestFit="1" customWidth="1"/>
    <col min="16" max="16" width="7.42578125" bestFit="1" customWidth="1"/>
    <col min="17" max="17" width="9.42578125" customWidth="1"/>
    <col min="18" max="18" width="10.28515625" bestFit="1" customWidth="1"/>
    <col min="19" max="19" width="9.42578125" bestFit="1" customWidth="1"/>
    <col min="20" max="20" width="10.28515625" bestFit="1" customWidth="1"/>
    <col min="21" max="21" width="8.42578125" bestFit="1" customWidth="1"/>
    <col min="22" max="22" width="10.28515625" bestFit="1" customWidth="1"/>
    <col min="23" max="26" width="10.28515625" customWidth="1"/>
    <col min="27" max="27" width="9.7109375" customWidth="1"/>
    <col min="28" max="28" width="10.28515625" bestFit="1" customWidth="1"/>
    <col min="29" max="29" width="9.140625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42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19.5" thickBot="1" x14ac:dyDescent="0.3">
      <c r="A2" s="699" t="s">
        <v>46</v>
      </c>
      <c r="B2" s="700" t="s">
        <v>47</v>
      </c>
      <c r="C2" s="701" t="s">
        <v>48</v>
      </c>
      <c r="D2" s="702" t="s">
        <v>379</v>
      </c>
      <c r="E2" s="700" t="s">
        <v>380</v>
      </c>
      <c r="F2" s="703" t="s">
        <v>49</v>
      </c>
      <c r="G2" s="700" t="s">
        <v>381</v>
      </c>
      <c r="H2" s="701" t="s">
        <v>382</v>
      </c>
      <c r="I2" s="704" t="s">
        <v>383</v>
      </c>
      <c r="J2" s="705" t="s">
        <v>384</v>
      </c>
      <c r="K2" s="701" t="s">
        <v>385</v>
      </c>
      <c r="L2" s="704" t="s">
        <v>50</v>
      </c>
      <c r="M2" s="705" t="s">
        <v>51</v>
      </c>
      <c r="N2" s="701" t="s">
        <v>52</v>
      </c>
      <c r="O2" s="702" t="s">
        <v>53</v>
      </c>
      <c r="P2" s="701" t="s">
        <v>386</v>
      </c>
      <c r="Q2" s="704" t="s">
        <v>54</v>
      </c>
      <c r="R2" s="703" t="s">
        <v>331</v>
      </c>
      <c r="S2" s="706" t="s">
        <v>55</v>
      </c>
      <c r="T2" s="701" t="s">
        <v>330</v>
      </c>
      <c r="U2" s="702" t="s">
        <v>148</v>
      </c>
      <c r="V2" s="703" t="s">
        <v>378</v>
      </c>
      <c r="W2" s="701" t="s">
        <v>321</v>
      </c>
      <c r="X2" s="701" t="s">
        <v>324</v>
      </c>
      <c r="Y2" s="701" t="s">
        <v>340</v>
      </c>
      <c r="Z2" s="701" t="s">
        <v>332</v>
      </c>
      <c r="AA2" s="700" t="s">
        <v>341</v>
      </c>
      <c r="AB2" s="701" t="s">
        <v>333</v>
      </c>
      <c r="AC2" s="702" t="s">
        <v>342</v>
      </c>
      <c r="AD2" s="701" t="s">
        <v>275</v>
      </c>
      <c r="AE2" s="704" t="s">
        <v>377</v>
      </c>
      <c r="AF2" s="705" t="s">
        <v>376</v>
      </c>
      <c r="AG2" s="707" t="s">
        <v>375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5.75" thickBot="1" x14ac:dyDescent="0.3">
      <c r="A3" s="840"/>
      <c r="B3" s="689">
        <v>44361</v>
      </c>
      <c r="C3" s="620"/>
      <c r="D3" s="841">
        <v>125</v>
      </c>
      <c r="E3" s="690">
        <v>44361</v>
      </c>
      <c r="F3" s="619"/>
      <c r="G3" s="693"/>
      <c r="H3" s="694"/>
      <c r="I3" s="619"/>
      <c r="J3" s="690"/>
      <c r="K3" s="619"/>
      <c r="L3" s="855"/>
      <c r="M3" s="696"/>
      <c r="N3" s="697">
        <v>80</v>
      </c>
      <c r="O3" s="845">
        <f t="shared" ref="O3" si="0">AG35-AK6-AI3</f>
        <v>0</v>
      </c>
      <c r="P3" s="620"/>
      <c r="Q3" s="844">
        <v>60</v>
      </c>
      <c r="R3" s="698">
        <v>44362</v>
      </c>
      <c r="S3" s="858">
        <v>60</v>
      </c>
      <c r="T3" s="621">
        <v>44362</v>
      </c>
      <c r="U3" s="844">
        <v>20</v>
      </c>
      <c r="V3" s="698">
        <v>44361</v>
      </c>
      <c r="W3" s="862">
        <v>60</v>
      </c>
      <c r="X3" s="698">
        <v>44362</v>
      </c>
      <c r="Y3" s="862"/>
      <c r="Z3" s="621"/>
      <c r="AA3" s="844"/>
      <c r="AB3" s="621"/>
      <c r="AC3" s="866"/>
      <c r="AD3" s="621"/>
      <c r="AE3" s="695"/>
      <c r="AF3" s="690" t="s">
        <v>398</v>
      </c>
      <c r="AG3" s="842">
        <v>40</v>
      </c>
      <c r="AH3" s="299">
        <v>0</v>
      </c>
      <c r="AI3" s="300">
        <v>140</v>
      </c>
      <c r="AJ3" s="301">
        <f>AH6+AJ6</f>
        <v>0</v>
      </c>
      <c r="AK3" s="302">
        <f>AK6+AI6</f>
        <v>625</v>
      </c>
    </row>
    <row r="4" spans="1:37" ht="19.5" thickBot="1" x14ac:dyDescent="0.3">
      <c r="A4" s="659"/>
      <c r="B4" s="661"/>
      <c r="C4" s="617"/>
      <c r="D4" s="878"/>
      <c r="E4" s="671"/>
      <c r="F4" s="618"/>
      <c r="G4" s="673"/>
      <c r="H4" s="676"/>
      <c r="I4" s="618"/>
      <c r="J4" s="671"/>
      <c r="K4" s="618"/>
      <c r="L4" s="856"/>
      <c r="M4" s="687"/>
      <c r="N4" s="664"/>
      <c r="O4" s="684"/>
      <c r="P4" s="617"/>
      <c r="Q4" s="846">
        <v>10</v>
      </c>
      <c r="R4" s="678">
        <v>44365</v>
      </c>
      <c r="S4" s="859"/>
      <c r="T4" s="615"/>
      <c r="U4" s="846">
        <v>60</v>
      </c>
      <c r="V4" s="678">
        <v>44362</v>
      </c>
      <c r="W4" s="863"/>
      <c r="X4" s="678"/>
      <c r="Y4" s="863"/>
      <c r="Z4" s="615"/>
      <c r="AA4" s="846"/>
      <c r="AB4" s="615"/>
      <c r="AC4" s="867"/>
      <c r="AD4" s="615"/>
      <c r="AE4" s="681"/>
      <c r="AF4" s="671">
        <v>44362</v>
      </c>
      <c r="AG4" s="843">
        <v>300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59"/>
      <c r="B5" s="661"/>
      <c r="C5" s="617"/>
      <c r="D5" s="673"/>
      <c r="E5" s="671"/>
      <c r="F5" s="618"/>
      <c r="G5" s="673"/>
      <c r="H5" s="676"/>
      <c r="I5" s="618"/>
      <c r="J5" s="671"/>
      <c r="K5" s="618"/>
      <c r="L5" s="856"/>
      <c r="M5" s="687"/>
      <c r="N5" s="664"/>
      <c r="O5" s="684"/>
      <c r="P5" s="617"/>
      <c r="Q5" s="846">
        <v>30</v>
      </c>
      <c r="R5" s="678"/>
      <c r="S5" s="859"/>
      <c r="T5" s="615"/>
      <c r="U5" s="846">
        <v>20</v>
      </c>
      <c r="V5" s="678">
        <v>44363</v>
      </c>
      <c r="W5" s="863"/>
      <c r="X5" s="678"/>
      <c r="Y5" s="863"/>
      <c r="Z5" s="615"/>
      <c r="AA5" s="846"/>
      <c r="AB5" s="615"/>
      <c r="AC5" s="867"/>
      <c r="AD5" s="615"/>
      <c r="AE5" s="681"/>
      <c r="AF5" s="671"/>
      <c r="AG5" s="843">
        <v>300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59"/>
      <c r="B6" s="661"/>
      <c r="C6" s="617"/>
      <c r="D6" s="673"/>
      <c r="E6" s="671"/>
      <c r="F6" s="618"/>
      <c r="G6" s="673"/>
      <c r="H6" s="676"/>
      <c r="I6" s="618"/>
      <c r="J6" s="671"/>
      <c r="K6" s="618"/>
      <c r="L6" s="856"/>
      <c r="M6" s="687"/>
      <c r="N6" s="664"/>
      <c r="O6" s="684"/>
      <c r="P6" s="617"/>
      <c r="Q6" s="846"/>
      <c r="R6" s="678"/>
      <c r="S6" s="859"/>
      <c r="T6" s="615"/>
      <c r="U6" s="846">
        <v>100</v>
      </c>
      <c r="V6" s="678"/>
      <c r="W6" s="863"/>
      <c r="X6" s="678"/>
      <c r="Y6" s="863"/>
      <c r="Z6" s="615"/>
      <c r="AA6" s="846"/>
      <c r="AB6" s="615"/>
      <c r="AC6" s="867"/>
      <c r="AD6" s="615"/>
      <c r="AE6" s="681"/>
      <c r="AF6" s="671"/>
      <c r="AG6" s="843"/>
      <c r="AH6" s="612">
        <f>A35+L35</f>
        <v>0</v>
      </c>
      <c r="AI6" s="317">
        <f>D35+H35+K35+N35</f>
        <v>125</v>
      </c>
      <c r="AJ6" s="128">
        <f>L35+C35</f>
        <v>0</v>
      </c>
      <c r="AK6" s="129">
        <f>F35+G35+I35+M35+Q35+S35+U35+W35+Y35+AA35+AC35</f>
        <v>500</v>
      </c>
    </row>
    <row r="7" spans="1:37" ht="19.5" thickBot="1" x14ac:dyDescent="0.3">
      <c r="A7" s="659"/>
      <c r="B7" s="661"/>
      <c r="C7" s="617"/>
      <c r="D7" s="673"/>
      <c r="E7" s="671"/>
      <c r="F7" s="618"/>
      <c r="G7" s="673"/>
      <c r="H7" s="676"/>
      <c r="I7" s="618"/>
      <c r="J7" s="671"/>
      <c r="K7" s="618"/>
      <c r="L7" s="856"/>
      <c r="M7" s="687"/>
      <c r="N7" s="664"/>
      <c r="O7" s="684"/>
      <c r="P7" s="617"/>
      <c r="Q7" s="846"/>
      <c r="R7" s="678"/>
      <c r="S7" s="859"/>
      <c r="T7" s="615"/>
      <c r="U7" s="846"/>
      <c r="V7" s="678"/>
      <c r="W7" s="863"/>
      <c r="X7" s="678"/>
      <c r="Y7" s="863"/>
      <c r="Z7" s="615"/>
      <c r="AA7" s="846"/>
      <c r="AB7" s="615"/>
      <c r="AC7" s="867"/>
      <c r="AD7" s="615"/>
      <c r="AE7" s="681"/>
      <c r="AF7" s="671"/>
      <c r="AG7" s="843"/>
      <c r="AH7" s="613" t="s">
        <v>66</v>
      </c>
      <c r="AI7" s="321" t="s">
        <v>67</v>
      </c>
    </row>
    <row r="8" spans="1:37" x14ac:dyDescent="0.25">
      <c r="A8" s="659"/>
      <c r="B8" s="661"/>
      <c r="C8" s="617"/>
      <c r="D8" s="673"/>
      <c r="E8" s="671"/>
      <c r="F8" s="618"/>
      <c r="G8" s="673"/>
      <c r="H8" s="676"/>
      <c r="I8" s="618"/>
      <c r="J8" s="671"/>
      <c r="K8" s="618"/>
      <c r="L8" s="856"/>
      <c r="M8" s="687"/>
      <c r="N8" s="843"/>
      <c r="O8" s="684"/>
      <c r="P8" s="617"/>
      <c r="Q8" s="846"/>
      <c r="R8" s="678"/>
      <c r="S8" s="860"/>
      <c r="T8" s="615"/>
      <c r="U8" s="846"/>
      <c r="V8" s="678"/>
      <c r="W8" s="863"/>
      <c r="X8" s="678"/>
      <c r="Y8" s="863"/>
      <c r="Z8" s="615"/>
      <c r="AA8" s="846"/>
      <c r="AB8" s="615"/>
      <c r="AC8" s="867"/>
      <c r="AD8" s="615"/>
      <c r="AE8" s="681"/>
      <c r="AF8" s="671"/>
      <c r="AG8" s="843"/>
      <c r="AH8" s="326">
        <v>0</v>
      </c>
      <c r="AI8" s="327">
        <f>E35</f>
        <v>0</v>
      </c>
    </row>
    <row r="9" spans="1:37" ht="15.75" thickBot="1" x14ac:dyDescent="0.3">
      <c r="A9" s="659"/>
      <c r="B9" s="661"/>
      <c r="C9" s="617"/>
      <c r="D9" s="673"/>
      <c r="E9" s="671"/>
      <c r="F9" s="618"/>
      <c r="G9" s="673"/>
      <c r="H9" s="676"/>
      <c r="I9" s="618"/>
      <c r="J9" s="671"/>
      <c r="K9" s="618"/>
      <c r="L9" s="856"/>
      <c r="M9" s="687"/>
      <c r="N9" s="664"/>
      <c r="O9" s="684"/>
      <c r="P9" s="617"/>
      <c r="Q9" s="846"/>
      <c r="R9" s="678"/>
      <c r="S9" s="860"/>
      <c r="T9" s="615"/>
      <c r="U9" s="846"/>
      <c r="V9" s="678"/>
      <c r="W9" s="863"/>
      <c r="X9" s="678"/>
      <c r="Y9" s="863"/>
      <c r="Z9" s="615"/>
      <c r="AA9" s="846"/>
      <c r="AB9" s="615"/>
      <c r="AC9" s="867"/>
      <c r="AD9" s="615"/>
      <c r="AE9" s="681"/>
      <c r="AF9" s="671"/>
      <c r="AG9" s="843"/>
      <c r="AH9" s="1244">
        <f>AH8-AI8</f>
        <v>0</v>
      </c>
      <c r="AI9" s="1222"/>
    </row>
    <row r="10" spans="1:37" x14ac:dyDescent="0.25">
      <c r="A10" s="659"/>
      <c r="B10" s="661"/>
      <c r="C10" s="617"/>
      <c r="D10" s="673"/>
      <c r="E10" s="671"/>
      <c r="F10" s="618"/>
      <c r="G10" s="673"/>
      <c r="H10" s="676"/>
      <c r="I10" s="618"/>
      <c r="J10" s="671"/>
      <c r="K10" s="618"/>
      <c r="L10" s="856"/>
      <c r="M10" s="687"/>
      <c r="N10" s="664"/>
      <c r="O10" s="684"/>
      <c r="P10" s="617"/>
      <c r="Q10" s="846"/>
      <c r="R10" s="678"/>
      <c r="S10" s="860"/>
      <c r="T10" s="615"/>
      <c r="U10" s="846"/>
      <c r="V10" s="678"/>
      <c r="W10" s="863"/>
      <c r="X10" s="678"/>
      <c r="Y10" s="863"/>
      <c r="Z10" s="615"/>
      <c r="AA10" s="663"/>
      <c r="AB10" s="615"/>
      <c r="AC10" s="868"/>
      <c r="AD10" s="615"/>
      <c r="AE10" s="681"/>
      <c r="AF10" s="671"/>
      <c r="AG10" s="843"/>
      <c r="AH10" s="610"/>
    </row>
    <row r="11" spans="1:37" x14ac:dyDescent="0.25">
      <c r="A11" s="659"/>
      <c r="B11" s="661"/>
      <c r="C11" s="617"/>
      <c r="D11" s="673"/>
      <c r="E11" s="671"/>
      <c r="F11" s="618"/>
      <c r="G11" s="673"/>
      <c r="H11" s="676"/>
      <c r="I11" s="618"/>
      <c r="J11" s="671"/>
      <c r="K11" s="618"/>
      <c r="L11" s="856"/>
      <c r="M11" s="687"/>
      <c r="N11" s="843"/>
      <c r="O11" s="684"/>
      <c r="P11" s="617"/>
      <c r="Q11" s="846"/>
      <c r="R11" s="678"/>
      <c r="S11" s="860"/>
      <c r="T11" s="615"/>
      <c r="U11" s="846"/>
      <c r="V11" s="678"/>
      <c r="W11" s="863"/>
      <c r="X11" s="678"/>
      <c r="Y11" s="863"/>
      <c r="Z11" s="615"/>
      <c r="AA11" s="663"/>
      <c r="AB11" s="615"/>
      <c r="AC11" s="868"/>
      <c r="AD11" s="615"/>
      <c r="AE11" s="681"/>
      <c r="AF11" s="671"/>
      <c r="AG11" s="843"/>
      <c r="AH11" s="610"/>
    </row>
    <row r="12" spans="1:37" x14ac:dyDescent="0.25">
      <c r="A12" s="659"/>
      <c r="B12" s="661"/>
      <c r="C12" s="617"/>
      <c r="D12" s="673"/>
      <c r="E12" s="671"/>
      <c r="F12" s="618"/>
      <c r="G12" s="673"/>
      <c r="H12" s="676"/>
      <c r="I12" s="618"/>
      <c r="J12" s="671"/>
      <c r="K12" s="618"/>
      <c r="L12" s="856"/>
      <c r="M12" s="687"/>
      <c r="N12" s="664"/>
      <c r="O12" s="684"/>
      <c r="P12" s="617"/>
      <c r="Q12" s="846"/>
      <c r="R12" s="678"/>
      <c r="S12" s="860"/>
      <c r="T12" s="615"/>
      <c r="U12" s="846"/>
      <c r="V12" s="678"/>
      <c r="W12" s="863"/>
      <c r="X12" s="678"/>
      <c r="Y12" s="863"/>
      <c r="Z12" s="615"/>
      <c r="AA12" s="663"/>
      <c r="AB12" s="615"/>
      <c r="AC12" s="868"/>
      <c r="AD12" s="615"/>
      <c r="AE12" s="681"/>
      <c r="AF12" s="671"/>
      <c r="AG12" s="843"/>
      <c r="AH12" s="610"/>
    </row>
    <row r="13" spans="1:37" x14ac:dyDescent="0.25">
      <c r="A13" s="659"/>
      <c r="B13" s="661"/>
      <c r="C13" s="617"/>
      <c r="D13" s="673"/>
      <c r="E13" s="671"/>
      <c r="F13" s="618"/>
      <c r="G13" s="673"/>
      <c r="H13" s="676"/>
      <c r="I13" s="618"/>
      <c r="J13" s="671"/>
      <c r="K13" s="618"/>
      <c r="L13" s="856"/>
      <c r="M13" s="687"/>
      <c r="N13" s="664"/>
      <c r="O13" s="684"/>
      <c r="P13" s="617"/>
      <c r="Q13" s="846"/>
      <c r="R13" s="678"/>
      <c r="S13" s="860"/>
      <c r="T13" s="615"/>
      <c r="U13" s="846"/>
      <c r="V13" s="678"/>
      <c r="W13" s="863"/>
      <c r="X13" s="678"/>
      <c r="Y13" s="863"/>
      <c r="Z13" s="615"/>
      <c r="AA13" s="663"/>
      <c r="AB13" s="615"/>
      <c r="AC13" s="868"/>
      <c r="AD13" s="615"/>
      <c r="AE13" s="681"/>
      <c r="AF13" s="671"/>
      <c r="AG13" s="843"/>
      <c r="AH13" s="610"/>
    </row>
    <row r="14" spans="1:37" x14ac:dyDescent="0.25">
      <c r="A14" s="659"/>
      <c r="B14" s="661"/>
      <c r="C14" s="617"/>
      <c r="D14" s="673"/>
      <c r="E14" s="671"/>
      <c r="F14" s="618"/>
      <c r="G14" s="673"/>
      <c r="H14" s="676"/>
      <c r="I14" s="618"/>
      <c r="J14" s="671"/>
      <c r="K14" s="618"/>
      <c r="L14" s="856"/>
      <c r="M14" s="687"/>
      <c r="N14" s="664"/>
      <c r="O14" s="684"/>
      <c r="P14" s="617"/>
      <c r="Q14" s="846"/>
      <c r="R14" s="678"/>
      <c r="S14" s="860"/>
      <c r="T14" s="615"/>
      <c r="U14" s="846"/>
      <c r="V14" s="678"/>
      <c r="W14" s="863"/>
      <c r="X14" s="678"/>
      <c r="Y14" s="863"/>
      <c r="Z14" s="615"/>
      <c r="AA14" s="663"/>
      <c r="AB14" s="615"/>
      <c r="AC14" s="868"/>
      <c r="AD14" s="615"/>
      <c r="AE14" s="681"/>
      <c r="AF14" s="671"/>
      <c r="AG14" s="664"/>
      <c r="AH14" s="610"/>
    </row>
    <row r="15" spans="1:37" x14ac:dyDescent="0.25">
      <c r="A15" s="659"/>
      <c r="B15" s="661"/>
      <c r="C15" s="617"/>
      <c r="D15" s="673"/>
      <c r="E15" s="671"/>
      <c r="F15" s="618"/>
      <c r="G15" s="673"/>
      <c r="H15" s="676"/>
      <c r="I15" s="618"/>
      <c r="J15" s="671"/>
      <c r="K15" s="618"/>
      <c r="L15" s="856"/>
      <c r="M15" s="687"/>
      <c r="N15" s="664"/>
      <c r="O15" s="684"/>
      <c r="P15" s="617"/>
      <c r="Q15" s="846"/>
      <c r="R15" s="678"/>
      <c r="S15" s="860"/>
      <c r="T15" s="615"/>
      <c r="U15" s="846"/>
      <c r="V15" s="678"/>
      <c r="W15" s="864"/>
      <c r="X15" s="678"/>
      <c r="Y15" s="863"/>
      <c r="Z15" s="615"/>
      <c r="AA15" s="663"/>
      <c r="AB15" s="615"/>
      <c r="AC15" s="868"/>
      <c r="AD15" s="615"/>
      <c r="AE15" s="681"/>
      <c r="AF15" s="671"/>
      <c r="AG15" s="664"/>
      <c r="AH15" s="610"/>
    </row>
    <row r="16" spans="1:37" x14ac:dyDescent="0.25">
      <c r="A16" s="659"/>
      <c r="B16" s="661"/>
      <c r="C16" s="617"/>
      <c r="D16" s="673"/>
      <c r="E16" s="671"/>
      <c r="F16" s="618"/>
      <c r="G16" s="673"/>
      <c r="H16" s="676"/>
      <c r="I16" s="618"/>
      <c r="J16" s="671"/>
      <c r="K16" s="618"/>
      <c r="L16" s="856"/>
      <c r="M16" s="687"/>
      <c r="N16" s="664"/>
      <c r="O16" s="684"/>
      <c r="P16" s="617"/>
      <c r="Q16" s="846"/>
      <c r="R16" s="678"/>
      <c r="S16" s="860"/>
      <c r="T16" s="615"/>
      <c r="U16" s="846"/>
      <c r="V16" s="678"/>
      <c r="W16" s="864"/>
      <c r="X16" s="678"/>
      <c r="Y16" s="863"/>
      <c r="Z16" s="615"/>
      <c r="AA16" s="663"/>
      <c r="AB16" s="615"/>
      <c r="AC16" s="868"/>
      <c r="AD16" s="615"/>
      <c r="AE16" s="681"/>
      <c r="AF16" s="671"/>
      <c r="AG16" s="664"/>
      <c r="AH16" s="610"/>
    </row>
    <row r="17" spans="1:34" x14ac:dyDescent="0.25">
      <c r="A17" s="659"/>
      <c r="B17" s="661"/>
      <c r="C17" s="617"/>
      <c r="D17" s="673"/>
      <c r="E17" s="671"/>
      <c r="F17" s="618"/>
      <c r="G17" s="673"/>
      <c r="H17" s="676"/>
      <c r="I17" s="618"/>
      <c r="J17" s="671"/>
      <c r="K17" s="618"/>
      <c r="L17" s="856"/>
      <c r="M17" s="687"/>
      <c r="N17" s="664"/>
      <c r="O17" s="684"/>
      <c r="P17" s="617"/>
      <c r="Q17" s="846"/>
      <c r="R17" s="678"/>
      <c r="S17" s="860"/>
      <c r="T17" s="615"/>
      <c r="U17" s="846"/>
      <c r="V17" s="678"/>
      <c r="W17" s="864"/>
      <c r="X17" s="678"/>
      <c r="Y17" s="863"/>
      <c r="Z17" s="615"/>
      <c r="AA17" s="663"/>
      <c r="AB17" s="615"/>
      <c r="AC17" s="868"/>
      <c r="AD17" s="615"/>
      <c r="AE17" s="681"/>
      <c r="AF17" s="671"/>
      <c r="AG17" s="664"/>
      <c r="AH17" s="610"/>
    </row>
    <row r="18" spans="1:34" x14ac:dyDescent="0.25">
      <c r="A18" s="659"/>
      <c r="B18" s="661"/>
      <c r="C18" s="617"/>
      <c r="D18" s="673"/>
      <c r="E18" s="671"/>
      <c r="F18" s="618"/>
      <c r="G18" s="673"/>
      <c r="H18" s="676"/>
      <c r="I18" s="618"/>
      <c r="J18" s="671"/>
      <c r="K18" s="618"/>
      <c r="L18" s="856"/>
      <c r="M18" s="687"/>
      <c r="N18" s="664"/>
      <c r="O18" s="684"/>
      <c r="P18" s="617"/>
      <c r="Q18" s="846"/>
      <c r="R18" s="678"/>
      <c r="S18" s="860"/>
      <c r="T18" s="615"/>
      <c r="U18" s="846"/>
      <c r="V18" s="678"/>
      <c r="W18" s="864"/>
      <c r="X18" s="678"/>
      <c r="Y18" s="864"/>
      <c r="Z18" s="615"/>
      <c r="AA18" s="663"/>
      <c r="AB18" s="615"/>
      <c r="AC18" s="868"/>
      <c r="AD18" s="615"/>
      <c r="AE18" s="681"/>
      <c r="AF18" s="671"/>
      <c r="AG18" s="664"/>
      <c r="AH18" s="610"/>
    </row>
    <row r="19" spans="1:34" x14ac:dyDescent="0.25">
      <c r="A19" s="659"/>
      <c r="B19" s="661"/>
      <c r="C19" s="617"/>
      <c r="D19" s="673"/>
      <c r="E19" s="671"/>
      <c r="F19" s="618"/>
      <c r="G19" s="673"/>
      <c r="H19" s="676"/>
      <c r="I19" s="618"/>
      <c r="J19" s="671"/>
      <c r="K19" s="618"/>
      <c r="L19" s="856"/>
      <c r="M19" s="687"/>
      <c r="N19" s="664"/>
      <c r="O19" s="684"/>
      <c r="P19" s="617"/>
      <c r="Q19" s="846"/>
      <c r="R19" s="678"/>
      <c r="S19" s="860"/>
      <c r="T19" s="615"/>
      <c r="U19" s="846"/>
      <c r="V19" s="678"/>
      <c r="W19" s="864"/>
      <c r="X19" s="678"/>
      <c r="Y19" s="864"/>
      <c r="Z19" s="615"/>
      <c r="AA19" s="663"/>
      <c r="AB19" s="615"/>
      <c r="AC19" s="868"/>
      <c r="AD19" s="615"/>
      <c r="AE19" s="681"/>
      <c r="AF19" s="671"/>
      <c r="AG19" s="664"/>
      <c r="AH19" s="614"/>
    </row>
    <row r="20" spans="1:34" x14ac:dyDescent="0.25">
      <c r="A20" s="659"/>
      <c r="B20" s="661"/>
      <c r="C20" s="617"/>
      <c r="D20" s="673"/>
      <c r="E20" s="671"/>
      <c r="F20" s="618"/>
      <c r="G20" s="673"/>
      <c r="H20" s="676"/>
      <c r="I20" s="618"/>
      <c r="J20" s="671"/>
      <c r="K20" s="618"/>
      <c r="L20" s="856"/>
      <c r="M20" s="687"/>
      <c r="N20" s="664"/>
      <c r="O20" s="684"/>
      <c r="P20" s="617"/>
      <c r="Q20" s="846"/>
      <c r="R20" s="678"/>
      <c r="S20" s="860"/>
      <c r="T20" s="615"/>
      <c r="U20" s="846"/>
      <c r="V20" s="678"/>
      <c r="W20" s="864"/>
      <c r="X20" s="678"/>
      <c r="Y20" s="864"/>
      <c r="Z20" s="615"/>
      <c r="AA20" s="663"/>
      <c r="AB20" s="615"/>
      <c r="AC20" s="868"/>
      <c r="AD20" s="615"/>
      <c r="AE20" s="681"/>
      <c r="AF20" s="671"/>
      <c r="AG20" s="664"/>
      <c r="AH20" s="614"/>
    </row>
    <row r="21" spans="1:34" x14ac:dyDescent="0.25">
      <c r="A21" s="659"/>
      <c r="B21" s="661"/>
      <c r="C21" s="617"/>
      <c r="D21" s="673"/>
      <c r="E21" s="671"/>
      <c r="F21" s="618"/>
      <c r="G21" s="673"/>
      <c r="H21" s="676"/>
      <c r="I21" s="618"/>
      <c r="J21" s="671"/>
      <c r="K21" s="618"/>
      <c r="L21" s="856"/>
      <c r="M21" s="687"/>
      <c r="N21" s="664"/>
      <c r="O21" s="684"/>
      <c r="P21" s="617"/>
      <c r="Q21" s="846"/>
      <c r="R21" s="678"/>
      <c r="S21" s="860"/>
      <c r="T21" s="615"/>
      <c r="U21" s="846"/>
      <c r="V21" s="678"/>
      <c r="W21" s="864"/>
      <c r="X21" s="678"/>
      <c r="Y21" s="864"/>
      <c r="Z21" s="615"/>
      <c r="AA21" s="663"/>
      <c r="AB21" s="615"/>
      <c r="AC21" s="868"/>
      <c r="AD21" s="615"/>
      <c r="AE21" s="681"/>
      <c r="AF21" s="671"/>
      <c r="AG21" s="664"/>
      <c r="AH21" s="614"/>
    </row>
    <row r="22" spans="1:34" x14ac:dyDescent="0.25">
      <c r="A22" s="659"/>
      <c r="B22" s="661"/>
      <c r="C22" s="617"/>
      <c r="D22" s="673"/>
      <c r="E22" s="671"/>
      <c r="F22" s="618"/>
      <c r="G22" s="673"/>
      <c r="H22" s="676"/>
      <c r="I22" s="618"/>
      <c r="J22" s="671"/>
      <c r="K22" s="618"/>
      <c r="L22" s="856"/>
      <c r="M22" s="687"/>
      <c r="N22" s="664"/>
      <c r="O22" s="684"/>
      <c r="P22" s="617"/>
      <c r="Q22" s="846"/>
      <c r="R22" s="678"/>
      <c r="S22" s="860"/>
      <c r="T22" s="615"/>
      <c r="U22" s="846"/>
      <c r="V22" s="678"/>
      <c r="W22" s="864"/>
      <c r="X22" s="678"/>
      <c r="Y22" s="864"/>
      <c r="Z22" s="615"/>
      <c r="AA22" s="663"/>
      <c r="AB22" s="615"/>
      <c r="AC22" s="868"/>
      <c r="AD22" s="615"/>
      <c r="AE22" s="681"/>
      <c r="AF22" s="671"/>
      <c r="AG22" s="664"/>
      <c r="AH22" s="614"/>
    </row>
    <row r="23" spans="1:34" x14ac:dyDescent="0.25">
      <c r="A23" s="659"/>
      <c r="B23" s="661"/>
      <c r="C23" s="617"/>
      <c r="D23" s="673"/>
      <c r="E23" s="671"/>
      <c r="F23" s="618"/>
      <c r="G23" s="673"/>
      <c r="H23" s="676"/>
      <c r="I23" s="618"/>
      <c r="J23" s="671"/>
      <c r="K23" s="618"/>
      <c r="L23" s="856"/>
      <c r="M23" s="687"/>
      <c r="N23" s="664"/>
      <c r="O23" s="684"/>
      <c r="P23" s="617"/>
      <c r="Q23" s="846"/>
      <c r="R23" s="678"/>
      <c r="S23" s="860"/>
      <c r="T23" s="615"/>
      <c r="U23" s="846"/>
      <c r="V23" s="678"/>
      <c r="W23" s="864"/>
      <c r="X23" s="678"/>
      <c r="Y23" s="864"/>
      <c r="Z23" s="615"/>
      <c r="AA23" s="663"/>
      <c r="AB23" s="615"/>
      <c r="AC23" s="868"/>
      <c r="AD23" s="615"/>
      <c r="AE23" s="681"/>
      <c r="AF23" s="671"/>
      <c r="AG23" s="664"/>
      <c r="AH23" s="614"/>
    </row>
    <row r="24" spans="1:34" x14ac:dyDescent="0.25">
      <c r="A24" s="659"/>
      <c r="B24" s="661"/>
      <c r="C24" s="617"/>
      <c r="D24" s="673"/>
      <c r="E24" s="671"/>
      <c r="F24" s="618"/>
      <c r="G24" s="673"/>
      <c r="H24" s="676"/>
      <c r="I24" s="618"/>
      <c r="J24" s="671"/>
      <c r="K24" s="618"/>
      <c r="L24" s="856"/>
      <c r="M24" s="687"/>
      <c r="N24" s="664"/>
      <c r="O24" s="684"/>
      <c r="P24" s="617"/>
      <c r="Q24" s="846"/>
      <c r="R24" s="678"/>
      <c r="S24" s="860"/>
      <c r="T24" s="615"/>
      <c r="U24" s="846"/>
      <c r="V24" s="678"/>
      <c r="W24" s="864"/>
      <c r="X24" s="678"/>
      <c r="Y24" s="864"/>
      <c r="Z24" s="615"/>
      <c r="AA24" s="663"/>
      <c r="AB24" s="615"/>
      <c r="AC24" s="868"/>
      <c r="AD24" s="615"/>
      <c r="AE24" s="681"/>
      <c r="AF24" s="671"/>
      <c r="AG24" s="664"/>
      <c r="AH24" s="614"/>
    </row>
    <row r="25" spans="1:34" x14ac:dyDescent="0.25">
      <c r="A25" s="659"/>
      <c r="B25" s="661"/>
      <c r="C25" s="617"/>
      <c r="D25" s="673"/>
      <c r="E25" s="671"/>
      <c r="F25" s="618"/>
      <c r="G25" s="673"/>
      <c r="H25" s="676"/>
      <c r="I25" s="618"/>
      <c r="J25" s="671"/>
      <c r="K25" s="618"/>
      <c r="L25" s="856"/>
      <c r="M25" s="687"/>
      <c r="N25" s="664"/>
      <c r="O25" s="684"/>
      <c r="P25" s="617"/>
      <c r="Q25" s="846"/>
      <c r="R25" s="678"/>
      <c r="S25" s="860"/>
      <c r="T25" s="615"/>
      <c r="U25" s="846"/>
      <c r="V25" s="678"/>
      <c r="W25" s="864"/>
      <c r="X25" s="678"/>
      <c r="Y25" s="864"/>
      <c r="Z25" s="615"/>
      <c r="AA25" s="663"/>
      <c r="AB25" s="615"/>
      <c r="AC25" s="868"/>
      <c r="AD25" s="615"/>
      <c r="AE25" s="681"/>
      <c r="AF25" s="671"/>
      <c r="AG25" s="664"/>
      <c r="AH25" s="614"/>
    </row>
    <row r="26" spans="1:34" x14ac:dyDescent="0.25">
      <c r="A26" s="659"/>
      <c r="B26" s="661"/>
      <c r="C26" s="617"/>
      <c r="D26" s="673"/>
      <c r="E26" s="671"/>
      <c r="F26" s="618"/>
      <c r="G26" s="673"/>
      <c r="H26" s="676"/>
      <c r="I26" s="618"/>
      <c r="J26" s="671"/>
      <c r="K26" s="618"/>
      <c r="L26" s="856"/>
      <c r="M26" s="687"/>
      <c r="N26" s="664"/>
      <c r="O26" s="684"/>
      <c r="P26" s="617"/>
      <c r="Q26" s="846"/>
      <c r="R26" s="678"/>
      <c r="S26" s="860"/>
      <c r="T26" s="615"/>
      <c r="U26" s="846"/>
      <c r="V26" s="678"/>
      <c r="W26" s="864"/>
      <c r="X26" s="678"/>
      <c r="Y26" s="864"/>
      <c r="Z26" s="615"/>
      <c r="AA26" s="663"/>
      <c r="AB26" s="615"/>
      <c r="AC26" s="868"/>
      <c r="AD26" s="615"/>
      <c r="AE26" s="681"/>
      <c r="AF26" s="671"/>
      <c r="AG26" s="664"/>
      <c r="AH26" s="614"/>
    </row>
    <row r="27" spans="1:34" x14ac:dyDescent="0.25">
      <c r="A27" s="659"/>
      <c r="B27" s="661"/>
      <c r="C27" s="617"/>
      <c r="D27" s="673"/>
      <c r="E27" s="671"/>
      <c r="F27" s="618"/>
      <c r="G27" s="673"/>
      <c r="H27" s="676"/>
      <c r="I27" s="618"/>
      <c r="J27" s="671"/>
      <c r="K27" s="618"/>
      <c r="L27" s="856"/>
      <c r="M27" s="687"/>
      <c r="N27" s="664"/>
      <c r="O27" s="684"/>
      <c r="P27" s="617"/>
      <c r="Q27" s="846"/>
      <c r="R27" s="678"/>
      <c r="S27" s="860"/>
      <c r="T27" s="615"/>
      <c r="U27" s="846"/>
      <c r="V27" s="678"/>
      <c r="W27" s="864"/>
      <c r="X27" s="678"/>
      <c r="Y27" s="864"/>
      <c r="Z27" s="615"/>
      <c r="AA27" s="663"/>
      <c r="AB27" s="615"/>
      <c r="AC27" s="868"/>
      <c r="AD27" s="615"/>
      <c r="AE27" s="681"/>
      <c r="AF27" s="671"/>
      <c r="AG27" s="664"/>
      <c r="AH27" s="614"/>
    </row>
    <row r="28" spans="1:34" x14ac:dyDescent="0.25">
      <c r="A28" s="659"/>
      <c r="B28" s="661"/>
      <c r="C28" s="617"/>
      <c r="D28" s="673"/>
      <c r="E28" s="671"/>
      <c r="F28" s="618"/>
      <c r="G28" s="673"/>
      <c r="H28" s="676"/>
      <c r="I28" s="618"/>
      <c r="J28" s="671"/>
      <c r="K28" s="618"/>
      <c r="L28" s="856"/>
      <c r="M28" s="687"/>
      <c r="N28" s="664"/>
      <c r="O28" s="684"/>
      <c r="P28" s="617"/>
      <c r="Q28" s="846"/>
      <c r="R28" s="678"/>
      <c r="S28" s="860"/>
      <c r="T28" s="615"/>
      <c r="U28" s="846"/>
      <c r="V28" s="678"/>
      <c r="W28" s="864"/>
      <c r="X28" s="678"/>
      <c r="Y28" s="864"/>
      <c r="Z28" s="615"/>
      <c r="AA28" s="663"/>
      <c r="AB28" s="615"/>
      <c r="AC28" s="868"/>
      <c r="AD28" s="615"/>
      <c r="AE28" s="681"/>
      <c r="AF28" s="671"/>
      <c r="AG28" s="664"/>
      <c r="AH28" s="614"/>
    </row>
    <row r="29" spans="1:34" x14ac:dyDescent="0.25">
      <c r="A29" s="659"/>
      <c r="B29" s="661"/>
      <c r="C29" s="617"/>
      <c r="D29" s="673"/>
      <c r="E29" s="671"/>
      <c r="F29" s="618"/>
      <c r="G29" s="673"/>
      <c r="H29" s="676"/>
      <c r="I29" s="618"/>
      <c r="J29" s="671"/>
      <c r="K29" s="618"/>
      <c r="L29" s="856"/>
      <c r="M29" s="687"/>
      <c r="N29" s="664"/>
      <c r="O29" s="684"/>
      <c r="P29" s="617"/>
      <c r="Q29" s="846"/>
      <c r="R29" s="678"/>
      <c r="S29" s="860"/>
      <c r="T29" s="615"/>
      <c r="U29" s="846"/>
      <c r="V29" s="678"/>
      <c r="W29" s="864"/>
      <c r="X29" s="678"/>
      <c r="Y29" s="864"/>
      <c r="Z29" s="615"/>
      <c r="AA29" s="663"/>
      <c r="AB29" s="615"/>
      <c r="AC29" s="868"/>
      <c r="AD29" s="615"/>
      <c r="AE29" s="681"/>
      <c r="AF29" s="671"/>
      <c r="AG29" s="664"/>
      <c r="AH29" s="614"/>
    </row>
    <row r="30" spans="1:34" x14ac:dyDescent="0.25">
      <c r="A30" s="659"/>
      <c r="B30" s="661"/>
      <c r="C30" s="617"/>
      <c r="D30" s="673"/>
      <c r="E30" s="671"/>
      <c r="F30" s="618"/>
      <c r="G30" s="673"/>
      <c r="H30" s="676"/>
      <c r="I30" s="618"/>
      <c r="J30" s="671"/>
      <c r="K30" s="618"/>
      <c r="L30" s="856"/>
      <c r="M30" s="687"/>
      <c r="N30" s="664"/>
      <c r="O30" s="684"/>
      <c r="P30" s="617"/>
      <c r="Q30" s="846"/>
      <c r="R30" s="678"/>
      <c r="S30" s="860"/>
      <c r="T30" s="615"/>
      <c r="U30" s="846"/>
      <c r="V30" s="678"/>
      <c r="W30" s="864"/>
      <c r="X30" s="678"/>
      <c r="Y30" s="864"/>
      <c r="Z30" s="615"/>
      <c r="AA30" s="663"/>
      <c r="AB30" s="615"/>
      <c r="AC30" s="868"/>
      <c r="AD30" s="615"/>
      <c r="AE30" s="681"/>
      <c r="AF30" s="671"/>
      <c r="AG30" s="664"/>
      <c r="AH30" s="614"/>
    </row>
    <row r="31" spans="1:34" x14ac:dyDescent="0.25">
      <c r="A31" s="659"/>
      <c r="B31" s="661"/>
      <c r="C31" s="617"/>
      <c r="D31" s="673"/>
      <c r="E31" s="671"/>
      <c r="F31" s="618"/>
      <c r="G31" s="673"/>
      <c r="H31" s="676"/>
      <c r="I31" s="618"/>
      <c r="J31" s="671"/>
      <c r="K31" s="618"/>
      <c r="L31" s="856"/>
      <c r="M31" s="687"/>
      <c r="N31" s="664"/>
      <c r="O31" s="684"/>
      <c r="P31" s="617"/>
      <c r="Q31" s="846"/>
      <c r="R31" s="678"/>
      <c r="S31" s="860"/>
      <c r="T31" s="615"/>
      <c r="U31" s="846"/>
      <c r="V31" s="678"/>
      <c r="W31" s="864"/>
      <c r="X31" s="678"/>
      <c r="Y31" s="864"/>
      <c r="Z31" s="615"/>
      <c r="AA31" s="663"/>
      <c r="AB31" s="615"/>
      <c r="AC31" s="868"/>
      <c r="AD31" s="615"/>
      <c r="AE31" s="681"/>
      <c r="AF31" s="671"/>
      <c r="AG31" s="664"/>
      <c r="AH31" s="614"/>
    </row>
    <row r="32" spans="1:34" x14ac:dyDescent="0.25">
      <c r="A32" s="659"/>
      <c r="B32" s="661"/>
      <c r="C32" s="617"/>
      <c r="D32" s="673"/>
      <c r="E32" s="671"/>
      <c r="F32" s="618"/>
      <c r="G32" s="673"/>
      <c r="H32" s="676"/>
      <c r="I32" s="618"/>
      <c r="J32" s="671"/>
      <c r="K32" s="618"/>
      <c r="L32" s="856"/>
      <c r="M32" s="687"/>
      <c r="N32" s="664"/>
      <c r="O32" s="684"/>
      <c r="P32" s="617"/>
      <c r="Q32" s="846"/>
      <c r="R32" s="678"/>
      <c r="S32" s="860"/>
      <c r="T32" s="615"/>
      <c r="U32" s="846"/>
      <c r="V32" s="678"/>
      <c r="W32" s="864"/>
      <c r="X32" s="678"/>
      <c r="Y32" s="864"/>
      <c r="Z32" s="615"/>
      <c r="AA32" s="663"/>
      <c r="AB32" s="615"/>
      <c r="AC32" s="868"/>
      <c r="AD32" s="615"/>
      <c r="AE32" s="681"/>
      <c r="AF32" s="671"/>
      <c r="AG32" s="664"/>
      <c r="AH32" s="614"/>
    </row>
    <row r="33" spans="1:34" ht="15.75" thickBot="1" x14ac:dyDescent="0.3">
      <c r="A33" s="660"/>
      <c r="B33" s="662"/>
      <c r="C33" s="667"/>
      <c r="D33" s="674"/>
      <c r="E33" s="672"/>
      <c r="F33" s="675"/>
      <c r="G33" s="674"/>
      <c r="H33" s="677"/>
      <c r="I33" s="624"/>
      <c r="J33" s="691"/>
      <c r="K33" s="624"/>
      <c r="L33" s="857"/>
      <c r="M33" s="688"/>
      <c r="N33" s="666"/>
      <c r="O33" s="686"/>
      <c r="P33" s="623"/>
      <c r="Q33" s="854"/>
      <c r="R33" s="679"/>
      <c r="S33" s="861"/>
      <c r="T33" s="616"/>
      <c r="U33" s="854"/>
      <c r="V33" s="679"/>
      <c r="W33" s="865"/>
      <c r="X33" s="679"/>
      <c r="Y33" s="865"/>
      <c r="Z33" s="680"/>
      <c r="AA33" s="665"/>
      <c r="AB33" s="680"/>
      <c r="AC33" s="869"/>
      <c r="AD33" s="680"/>
      <c r="AE33" s="682"/>
      <c r="AF33" s="683"/>
      <c r="AG33" s="666"/>
      <c r="AH33" s="614"/>
    </row>
    <row r="34" spans="1:34" ht="15.75" thickBot="1" x14ac:dyDescent="0.3">
      <c r="A34" s="1285" t="s">
        <v>102</v>
      </c>
      <c r="B34" s="1284"/>
      <c r="C34" s="1284"/>
      <c r="D34" s="668" t="s">
        <v>103</v>
      </c>
      <c r="E34" s="669" t="s">
        <v>61</v>
      </c>
      <c r="F34" s="670" t="s">
        <v>103</v>
      </c>
      <c r="G34" s="1285" t="s">
        <v>103</v>
      </c>
      <c r="H34" s="1284"/>
      <c r="I34" s="1305" t="s">
        <v>102</v>
      </c>
      <c r="J34" s="1287"/>
      <c r="K34" s="1287"/>
      <c r="L34" s="1306" t="s">
        <v>102</v>
      </c>
      <c r="M34" s="1284"/>
      <c r="N34" s="1284"/>
      <c r="O34" s="1305" t="s">
        <v>104</v>
      </c>
      <c r="P34" s="1307"/>
      <c r="Q34" s="1276" t="s">
        <v>104</v>
      </c>
      <c r="R34" s="1299"/>
      <c r="S34" s="1276" t="s">
        <v>104</v>
      </c>
      <c r="T34" s="1299"/>
      <c r="U34" s="1276" t="s">
        <v>104</v>
      </c>
      <c r="V34" s="1304"/>
      <c r="W34" s="1308"/>
      <c r="X34" s="1309"/>
      <c r="Y34" s="1308"/>
      <c r="Z34" s="1309"/>
      <c r="AA34" s="1285" t="s">
        <v>102</v>
      </c>
      <c r="AB34" s="1304"/>
      <c r="AC34" s="1276" t="s">
        <v>102</v>
      </c>
      <c r="AD34" s="1304"/>
      <c r="AE34" s="1283" t="s">
        <v>102</v>
      </c>
      <c r="AF34" s="1284"/>
      <c r="AG34" s="1304"/>
      <c r="AH34" s="614"/>
    </row>
    <row r="35" spans="1:34" x14ac:dyDescent="0.25">
      <c r="A35" s="872">
        <f>SUM(A3:A33)</f>
        <v>0</v>
      </c>
      <c r="B35" s="626"/>
      <c r="C35" s="627">
        <f>SUM(C3:C33)</f>
        <v>0</v>
      </c>
      <c r="D35" s="871">
        <f>SUM(D3:D33)</f>
        <v>125</v>
      </c>
      <c r="E35" s="629">
        <v>0</v>
      </c>
      <c r="F35" s="870">
        <f>SUM(F3:F33)</f>
        <v>0</v>
      </c>
      <c r="G35" s="628">
        <f>SUM(G3:G33)</f>
        <v>0</v>
      </c>
      <c r="H35" s="630">
        <f>SUM(H3:H33)</f>
        <v>0</v>
      </c>
      <c r="I35" s="628">
        <f>SUM(I3:I33)</f>
        <v>0</v>
      </c>
      <c r="J35" s="629"/>
      <c r="K35" s="630">
        <f>SUM(K3:K33)</f>
        <v>0</v>
      </c>
      <c r="L35" s="631">
        <f>SUM(L3:L33)</f>
        <v>0</v>
      </c>
      <c r="M35" s="873">
        <f>N3+N4+N5+N6+N7+N8+N9+N10</f>
        <v>80</v>
      </c>
      <c r="N35" s="870">
        <f>N27+N28+N29+N30+N31+N32+N33</f>
        <v>0</v>
      </c>
      <c r="O35" s="871">
        <f>O3</f>
        <v>0</v>
      </c>
      <c r="P35" s="632">
        <f>P3</f>
        <v>0</v>
      </c>
      <c r="Q35" s="880">
        <f>SUM(Q3:Q33)</f>
        <v>100</v>
      </c>
      <c r="R35" s="884">
        <v>0</v>
      </c>
      <c r="S35" s="880">
        <f>SUM(S3:S33)</f>
        <v>60</v>
      </c>
      <c r="T35" s="884">
        <v>0</v>
      </c>
      <c r="U35" s="880">
        <f>SUM(U3:U33)</f>
        <v>200</v>
      </c>
      <c r="V35" s="889">
        <v>0</v>
      </c>
      <c r="W35" s="881">
        <f>SUM(W3:W33)</f>
        <v>60</v>
      </c>
      <c r="X35" s="890">
        <v>0</v>
      </c>
      <c r="Y35" s="847">
        <f>SUM(Y3:Y33)</f>
        <v>0</v>
      </c>
      <c r="Z35" s="847"/>
      <c r="AA35" s="628">
        <f>SUM(AA3:AA33)</f>
        <v>0</v>
      </c>
      <c r="AB35" s="630"/>
      <c r="AC35" s="628">
        <f>SUM(AC3:AC33)</f>
        <v>0</v>
      </c>
      <c r="AD35" s="630"/>
      <c r="AE35" s="631">
        <f>SUM(AE3:AE33)</f>
        <v>0</v>
      </c>
      <c r="AF35" s="629"/>
      <c r="AG35" s="633">
        <f>SUM(AG3:AG33)</f>
        <v>640</v>
      </c>
      <c r="AH35" s="614"/>
    </row>
    <row r="36" spans="1:34" x14ac:dyDescent="0.25">
      <c r="A36" s="634"/>
      <c r="B36" s="635"/>
      <c r="C36" s="636"/>
      <c r="D36" s="634"/>
      <c r="E36" s="635"/>
      <c r="F36" s="636"/>
      <c r="G36" s="634"/>
      <c r="H36" s="636"/>
      <c r="I36" s="634"/>
      <c r="J36" s="635"/>
      <c r="K36" s="636"/>
      <c r="L36" s="634"/>
      <c r="M36" s="635" t="s">
        <v>49</v>
      </c>
      <c r="N36" s="636" t="s">
        <v>46</v>
      </c>
      <c r="O36" s="883">
        <v>0</v>
      </c>
      <c r="P36" s="636" t="s">
        <v>355</v>
      </c>
      <c r="Q36" s="883">
        <v>0</v>
      </c>
      <c r="R36" s="636" t="s">
        <v>354</v>
      </c>
      <c r="S36" s="883">
        <v>0</v>
      </c>
      <c r="T36" s="636" t="s">
        <v>355</v>
      </c>
      <c r="U36" s="883">
        <v>0</v>
      </c>
      <c r="V36" s="637" t="s">
        <v>355</v>
      </c>
      <c r="W36" s="886">
        <v>0</v>
      </c>
      <c r="X36" s="891" t="s">
        <v>355</v>
      </c>
      <c r="Y36" s="848"/>
      <c r="Z36" s="848"/>
      <c r="AA36" s="634">
        <v>0</v>
      </c>
      <c r="AB36" s="636" t="s">
        <v>264</v>
      </c>
      <c r="AC36" s="634"/>
      <c r="AD36" s="636"/>
      <c r="AE36" s="634"/>
      <c r="AF36" s="635"/>
      <c r="AG36" s="637"/>
      <c r="AH36" s="614"/>
    </row>
    <row r="37" spans="1:34" ht="15.75" thickBot="1" x14ac:dyDescent="0.3">
      <c r="A37" s="638"/>
      <c r="B37" s="639"/>
      <c r="C37" s="640"/>
      <c r="D37" s="638"/>
      <c r="E37" s="639"/>
      <c r="F37" s="640"/>
      <c r="G37" s="638"/>
      <c r="H37" s="640"/>
      <c r="I37" s="638"/>
      <c r="J37" s="639"/>
      <c r="K37" s="640"/>
      <c r="L37" s="638"/>
      <c r="M37" s="639"/>
      <c r="N37" s="640"/>
      <c r="O37" s="882">
        <f>O35-O36</f>
        <v>0</v>
      </c>
      <c r="P37" s="640" t="s">
        <v>263</v>
      </c>
      <c r="Q37" s="885">
        <f>Q35-Q36</f>
        <v>100</v>
      </c>
      <c r="R37" s="640" t="s">
        <v>264</v>
      </c>
      <c r="S37" s="885">
        <f>S35-S36</f>
        <v>60</v>
      </c>
      <c r="T37" s="640" t="s">
        <v>264</v>
      </c>
      <c r="U37" s="885">
        <f>U35-U36</f>
        <v>200</v>
      </c>
      <c r="V37" s="641" t="s">
        <v>264</v>
      </c>
      <c r="W37" s="887">
        <f>W35-W36</f>
        <v>60</v>
      </c>
      <c r="X37" s="892"/>
      <c r="Y37" s="850"/>
      <c r="Z37" s="849"/>
      <c r="AA37" s="638">
        <f>AA35-AA36</f>
        <v>0</v>
      </c>
      <c r="AB37" s="640" t="s">
        <v>264</v>
      </c>
      <c r="AC37" s="638"/>
      <c r="AD37" s="640"/>
      <c r="AE37" s="638"/>
      <c r="AF37" s="639"/>
      <c r="AG37" s="641"/>
      <c r="AH37" s="614"/>
    </row>
    <row r="38" spans="1:34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/>
      <c r="P38" s="610"/>
      <c r="Q38" s="888">
        <v>88</v>
      </c>
      <c r="R38" s="614" t="s">
        <v>359</v>
      </c>
      <c r="S38" s="610"/>
      <c r="T38" s="610"/>
      <c r="U38" s="610">
        <v>750</v>
      </c>
      <c r="V38" s="610" t="s">
        <v>356</v>
      </c>
      <c r="W38" s="610"/>
      <c r="X38" s="610"/>
      <c r="Y38" s="610"/>
      <c r="Z38" s="610"/>
      <c r="AA38" s="610"/>
      <c r="AB38" s="610"/>
      <c r="AC38" s="610"/>
      <c r="AD38" s="610"/>
      <c r="AE38" s="610"/>
      <c r="AF38" s="610"/>
      <c r="AG38" s="610"/>
    </row>
    <row r="39" spans="1:34" x14ac:dyDescent="0.25">
      <c r="Q39" s="36">
        <v>2020</v>
      </c>
      <c r="R39" s="30" t="s">
        <v>358</v>
      </c>
      <c r="U39">
        <v>300</v>
      </c>
      <c r="V39" t="s">
        <v>394</v>
      </c>
    </row>
    <row r="40" spans="1:34" x14ac:dyDescent="0.25">
      <c r="Q40" s="36">
        <v>975</v>
      </c>
      <c r="R40" s="30" t="s">
        <v>356</v>
      </c>
      <c r="U40">
        <v>500</v>
      </c>
      <c r="V40" t="s">
        <v>394</v>
      </c>
    </row>
    <row r="41" spans="1:34" x14ac:dyDescent="0.25">
      <c r="Q41" s="36">
        <v>10000</v>
      </c>
      <c r="R41" s="30" t="s">
        <v>49</v>
      </c>
    </row>
    <row r="42" spans="1:34" x14ac:dyDescent="0.25">
      <c r="Q42" s="36">
        <v>30000</v>
      </c>
      <c r="R42" s="36" t="s">
        <v>357</v>
      </c>
    </row>
    <row r="43" spans="1:34" x14ac:dyDescent="0.25">
      <c r="Q43" s="879">
        <v>33745</v>
      </c>
      <c r="R43" s="30" t="s">
        <v>103</v>
      </c>
    </row>
    <row r="44" spans="1:34" x14ac:dyDescent="0.25">
      <c r="Q44">
        <v>750</v>
      </c>
      <c r="R44" t="s">
        <v>392</v>
      </c>
    </row>
    <row r="45" spans="1:34" x14ac:dyDescent="0.25">
      <c r="Q45">
        <v>25</v>
      </c>
      <c r="R45" s="827" t="s">
        <v>251</v>
      </c>
    </row>
    <row r="46" spans="1:34" x14ac:dyDescent="0.25">
      <c r="Q46">
        <v>-10000</v>
      </c>
      <c r="R46" s="827">
        <v>44350</v>
      </c>
    </row>
    <row r="47" spans="1:34" x14ac:dyDescent="0.25">
      <c r="Q47">
        <v>500</v>
      </c>
      <c r="R47" t="s">
        <v>399</v>
      </c>
    </row>
    <row r="48" spans="1:34" x14ac:dyDescent="0.25">
      <c r="Q48">
        <v>1100</v>
      </c>
      <c r="R48" t="s">
        <v>400</v>
      </c>
    </row>
  </sheetData>
  <mergeCells count="25">
    <mergeCell ref="A34:C34"/>
    <mergeCell ref="G34:H34"/>
    <mergeCell ref="I34:K34"/>
    <mergeCell ref="L34:N34"/>
    <mergeCell ref="O34:P34"/>
    <mergeCell ref="Q34:R34"/>
    <mergeCell ref="AE1:AG1"/>
    <mergeCell ref="AH1:AI1"/>
    <mergeCell ref="AJ1:AK1"/>
    <mergeCell ref="AH4:AI4"/>
    <mergeCell ref="AJ4:AK4"/>
    <mergeCell ref="AH9:AI9"/>
    <mergeCell ref="Q1:AD1"/>
    <mergeCell ref="AE34:AG34"/>
    <mergeCell ref="S34:T34"/>
    <mergeCell ref="U34:V34"/>
    <mergeCell ref="W34:X34"/>
    <mergeCell ref="Y34:Z34"/>
    <mergeCell ref="AA34:AB34"/>
    <mergeCell ref="AC34:AD34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10C5DF-2177-8741-8231-84727EF0B409}">
  <dimension ref="A1:AK46"/>
  <sheetViews>
    <sheetView topLeftCell="F1" zoomScaleNormal="60" zoomScaleSheetLayoutView="100" workbookViewId="0">
      <selection activeCell="O3" sqref="O3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9.5703125" bestFit="1" customWidth="1"/>
    <col min="4" max="4" width="9.42578125" bestFit="1" customWidth="1"/>
    <col min="5" max="5" width="9" bestFit="1" customWidth="1"/>
    <col min="6" max="6" width="9.7109375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15.140625" customWidth="1"/>
    <col min="16" max="16" width="7.42578125" bestFit="1" customWidth="1"/>
    <col min="17" max="17" width="9.42578125" customWidth="1"/>
    <col min="18" max="18" width="10.28515625" bestFit="1" customWidth="1"/>
    <col min="19" max="19" width="9.42578125" bestFit="1" customWidth="1"/>
    <col min="20" max="20" width="10.28515625" bestFit="1" customWidth="1"/>
    <col min="21" max="21" width="8.42578125" bestFit="1" customWidth="1"/>
    <col min="22" max="22" width="10.28515625" bestFit="1" customWidth="1"/>
    <col min="23" max="26" width="10.28515625" customWidth="1"/>
    <col min="27" max="27" width="9.7109375" customWidth="1"/>
    <col min="28" max="28" width="10.28515625" bestFit="1" customWidth="1"/>
    <col min="29" max="29" width="9.140625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42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19.5" thickBot="1" x14ac:dyDescent="0.3">
      <c r="A2" s="699" t="s">
        <v>46</v>
      </c>
      <c r="B2" s="700" t="s">
        <v>47</v>
      </c>
      <c r="C2" s="701" t="s">
        <v>48</v>
      </c>
      <c r="D2" s="702" t="s">
        <v>280</v>
      </c>
      <c r="E2" s="700" t="s">
        <v>282</v>
      </c>
      <c r="F2" s="703" t="s">
        <v>49</v>
      </c>
      <c r="G2" s="700" t="s">
        <v>266</v>
      </c>
      <c r="H2" s="701" t="s">
        <v>267</v>
      </c>
      <c r="I2" s="704" t="s">
        <v>268</v>
      </c>
      <c r="J2" s="705" t="s">
        <v>269</v>
      </c>
      <c r="K2" s="701" t="s">
        <v>270</v>
      </c>
      <c r="L2" s="704" t="s">
        <v>50</v>
      </c>
      <c r="M2" s="705" t="s">
        <v>51</v>
      </c>
      <c r="N2" s="701" t="s">
        <v>52</v>
      </c>
      <c r="O2" s="702" t="s">
        <v>53</v>
      </c>
      <c r="P2" s="701" t="s">
        <v>279</v>
      </c>
      <c r="Q2" s="704" t="s">
        <v>54</v>
      </c>
      <c r="R2" s="703" t="s">
        <v>331</v>
      </c>
      <c r="S2" s="706" t="s">
        <v>55</v>
      </c>
      <c r="T2" s="701" t="s">
        <v>330</v>
      </c>
      <c r="U2" s="702" t="s">
        <v>148</v>
      </c>
      <c r="V2" s="703" t="s">
        <v>329</v>
      </c>
      <c r="W2" s="701" t="s">
        <v>321</v>
      </c>
      <c r="X2" s="701" t="s">
        <v>324</v>
      </c>
      <c r="Y2" s="701" t="s">
        <v>340</v>
      </c>
      <c r="Z2" s="701" t="s">
        <v>332</v>
      </c>
      <c r="AA2" s="700" t="s">
        <v>341</v>
      </c>
      <c r="AB2" s="701" t="s">
        <v>333</v>
      </c>
      <c r="AC2" s="702" t="s">
        <v>342</v>
      </c>
      <c r="AD2" s="701" t="s">
        <v>275</v>
      </c>
      <c r="AE2" s="704" t="s">
        <v>276</v>
      </c>
      <c r="AF2" s="705" t="s">
        <v>277</v>
      </c>
      <c r="AG2" s="707" t="s">
        <v>278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5.75" thickBot="1" x14ac:dyDescent="0.3">
      <c r="A3" s="840">
        <v>1999.2</v>
      </c>
      <c r="B3" s="689">
        <v>44318</v>
      </c>
      <c r="C3" s="620"/>
      <c r="D3" s="926">
        <v>78</v>
      </c>
      <c r="E3" s="690">
        <v>44320</v>
      </c>
      <c r="F3" s="619"/>
      <c r="G3" s="693"/>
      <c r="H3" s="694">
        <v>2.9</v>
      </c>
      <c r="I3" s="619"/>
      <c r="J3" s="690"/>
      <c r="K3" s="619"/>
      <c r="L3" s="855"/>
      <c r="M3" s="696" t="s">
        <v>353</v>
      </c>
      <c r="N3" s="697">
        <v>19.45</v>
      </c>
      <c r="O3" s="845">
        <f t="shared" ref="O3" si="0">AG35-AK6-AI3</f>
        <v>1150.19</v>
      </c>
      <c r="P3" s="620"/>
      <c r="Q3" s="844">
        <v>50</v>
      </c>
      <c r="R3" s="698">
        <v>44319</v>
      </c>
      <c r="S3" s="858">
        <v>50</v>
      </c>
      <c r="T3" s="621">
        <v>44319</v>
      </c>
      <c r="U3" s="844"/>
      <c r="V3" s="698" t="s">
        <v>119</v>
      </c>
      <c r="W3" s="862">
        <v>50</v>
      </c>
      <c r="X3" s="698">
        <v>44319</v>
      </c>
      <c r="Y3" s="862"/>
      <c r="Z3" s="621"/>
      <c r="AA3" s="844"/>
      <c r="AB3" s="621"/>
      <c r="AC3" s="866"/>
      <c r="AD3" s="621"/>
      <c r="AE3" s="695"/>
      <c r="AF3" s="690" t="s">
        <v>119</v>
      </c>
      <c r="AG3" s="842">
        <v>410</v>
      </c>
      <c r="AH3" s="299">
        <v>0</v>
      </c>
      <c r="AI3" s="300">
        <v>40</v>
      </c>
      <c r="AJ3" s="301">
        <f>AH6+AJ6</f>
        <v>1999.2</v>
      </c>
      <c r="AK3" s="302">
        <f>AK6+AI6</f>
        <v>2869.22</v>
      </c>
    </row>
    <row r="4" spans="1:37" ht="19.5" thickBot="1" x14ac:dyDescent="0.3">
      <c r="A4" s="659"/>
      <c r="B4" s="661"/>
      <c r="C4" s="617"/>
      <c r="D4" s="927">
        <v>80</v>
      </c>
      <c r="E4" s="671">
        <v>44324</v>
      </c>
      <c r="F4" s="618"/>
      <c r="G4" s="673"/>
      <c r="H4" s="925">
        <v>10.9</v>
      </c>
      <c r="I4" s="618"/>
      <c r="J4" s="671"/>
      <c r="K4" s="618"/>
      <c r="L4" s="856"/>
      <c r="M4" s="687" t="s">
        <v>397</v>
      </c>
      <c r="N4" s="664">
        <v>35.6</v>
      </c>
      <c r="O4" s="684"/>
      <c r="P4" s="617"/>
      <c r="Q4" s="846">
        <v>50</v>
      </c>
      <c r="R4" s="678">
        <v>44325</v>
      </c>
      <c r="S4" s="859">
        <v>50</v>
      </c>
      <c r="T4" s="615">
        <v>44325</v>
      </c>
      <c r="U4" s="846">
        <v>100</v>
      </c>
      <c r="V4" s="678">
        <v>44319</v>
      </c>
      <c r="W4" s="863"/>
      <c r="X4" s="678">
        <v>44328</v>
      </c>
      <c r="Y4" s="863"/>
      <c r="Z4" s="615"/>
      <c r="AA4" s="846"/>
      <c r="AB4" s="615"/>
      <c r="AC4" s="867"/>
      <c r="AD4" s="615"/>
      <c r="AE4" s="681"/>
      <c r="AF4" s="671">
        <v>44325</v>
      </c>
      <c r="AG4" s="843">
        <v>200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59"/>
      <c r="B5" s="661"/>
      <c r="C5" s="617"/>
      <c r="D5" s="928">
        <v>117.01</v>
      </c>
      <c r="E5" s="671">
        <v>44325</v>
      </c>
      <c r="F5" s="618"/>
      <c r="G5" s="673"/>
      <c r="H5" s="925">
        <v>7.2</v>
      </c>
      <c r="I5" s="618"/>
      <c r="J5" s="671"/>
      <c r="K5" s="618"/>
      <c r="L5" s="856"/>
      <c r="M5" s="687"/>
      <c r="N5" s="664"/>
      <c r="O5" s="684"/>
      <c r="P5" s="617"/>
      <c r="Q5" s="846">
        <v>50</v>
      </c>
      <c r="R5" s="678">
        <v>44328</v>
      </c>
      <c r="S5" s="859">
        <v>100</v>
      </c>
      <c r="T5" s="615">
        <v>44328</v>
      </c>
      <c r="U5" s="846">
        <v>50</v>
      </c>
      <c r="V5" s="678">
        <v>44319</v>
      </c>
      <c r="W5" s="863">
        <v>50</v>
      </c>
      <c r="X5" s="678">
        <v>44330</v>
      </c>
      <c r="Y5" s="863"/>
      <c r="Z5" s="615"/>
      <c r="AA5" s="846"/>
      <c r="AB5" s="615"/>
      <c r="AC5" s="867"/>
      <c r="AD5" s="615"/>
      <c r="AE5" s="681"/>
      <c r="AF5" s="671">
        <v>44327</v>
      </c>
      <c r="AG5" s="843">
        <v>700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59"/>
      <c r="B6" s="661"/>
      <c r="C6" s="617"/>
      <c r="D6" s="673">
        <v>121.99</v>
      </c>
      <c r="E6" s="671">
        <v>44328</v>
      </c>
      <c r="F6" s="618"/>
      <c r="G6" s="673"/>
      <c r="H6" s="925">
        <v>16.899999999999999</v>
      </c>
      <c r="I6" s="618"/>
      <c r="J6" s="671"/>
      <c r="K6" s="618"/>
      <c r="L6" s="856"/>
      <c r="M6" s="687"/>
      <c r="N6" s="664"/>
      <c r="O6" s="684"/>
      <c r="P6" s="617"/>
      <c r="Q6" s="846">
        <v>50</v>
      </c>
      <c r="R6" s="678">
        <v>44330</v>
      </c>
      <c r="S6" s="859">
        <v>100</v>
      </c>
      <c r="T6" s="615">
        <v>44344</v>
      </c>
      <c r="U6" s="846">
        <v>30</v>
      </c>
      <c r="V6" s="678">
        <v>44324</v>
      </c>
      <c r="W6" s="863">
        <v>100</v>
      </c>
      <c r="X6" s="678">
        <v>44333</v>
      </c>
      <c r="Y6" s="863"/>
      <c r="Z6" s="615"/>
      <c r="AA6" s="846"/>
      <c r="AB6" s="615"/>
      <c r="AC6" s="867"/>
      <c r="AD6" s="615"/>
      <c r="AE6" s="681"/>
      <c r="AF6" s="671">
        <v>44344</v>
      </c>
      <c r="AG6" s="843">
        <v>500</v>
      </c>
      <c r="AH6" s="612">
        <f>A35+L35</f>
        <v>1999.2</v>
      </c>
      <c r="AI6" s="317">
        <f>D35+H35+K35+N35</f>
        <v>749.41</v>
      </c>
      <c r="AJ6" s="128">
        <f>L35+C35</f>
        <v>0</v>
      </c>
      <c r="AK6" s="129">
        <f>F35+G35+I35+M35+Q35+S35+U35+W35+Y35+AA35+AC35</f>
        <v>2119.81</v>
      </c>
    </row>
    <row r="7" spans="1:37" ht="19.5" thickBot="1" x14ac:dyDescent="0.3">
      <c r="A7" s="659"/>
      <c r="B7" s="661"/>
      <c r="C7" s="617"/>
      <c r="D7" s="927">
        <v>124</v>
      </c>
      <c r="E7" s="671">
        <v>44331</v>
      </c>
      <c r="F7" s="618"/>
      <c r="G7" s="673"/>
      <c r="H7" s="925">
        <v>13.7</v>
      </c>
      <c r="I7" s="618"/>
      <c r="J7" s="671"/>
      <c r="K7" s="618"/>
      <c r="L7" s="856"/>
      <c r="M7" s="687"/>
      <c r="N7" s="664"/>
      <c r="O7" s="684"/>
      <c r="P7" s="617"/>
      <c r="Q7" s="846">
        <v>50</v>
      </c>
      <c r="R7" s="678">
        <v>44334</v>
      </c>
      <c r="S7" s="859">
        <v>100</v>
      </c>
      <c r="T7" s="615">
        <v>44347</v>
      </c>
      <c r="U7" s="846">
        <v>50</v>
      </c>
      <c r="V7" s="678">
        <v>44325</v>
      </c>
      <c r="W7" s="863">
        <v>100</v>
      </c>
      <c r="X7" s="678">
        <v>44341</v>
      </c>
      <c r="Y7" s="863"/>
      <c r="Z7" s="615"/>
      <c r="AA7" s="846"/>
      <c r="AB7" s="615"/>
      <c r="AC7" s="867"/>
      <c r="AD7" s="615"/>
      <c r="AE7" s="681"/>
      <c r="AF7" s="671">
        <v>44347</v>
      </c>
      <c r="AG7" s="843">
        <v>500</v>
      </c>
      <c r="AH7" s="613" t="s">
        <v>66</v>
      </c>
      <c r="AI7" s="321" t="s">
        <v>67</v>
      </c>
    </row>
    <row r="8" spans="1:37" x14ac:dyDescent="0.25">
      <c r="A8" s="659"/>
      <c r="B8" s="661"/>
      <c r="C8" s="617"/>
      <c r="D8" s="673"/>
      <c r="E8" s="671">
        <v>44338</v>
      </c>
      <c r="F8" s="618">
        <v>100</v>
      </c>
      <c r="G8" s="673"/>
      <c r="H8" s="925">
        <v>19.5</v>
      </c>
      <c r="I8" s="618"/>
      <c r="J8" s="671"/>
      <c r="K8" s="618"/>
      <c r="L8" s="856"/>
      <c r="M8" s="687"/>
      <c r="N8" s="843"/>
      <c r="O8" s="684"/>
      <c r="P8" s="617"/>
      <c r="Q8" s="846">
        <v>50</v>
      </c>
      <c r="R8" s="678"/>
      <c r="S8" s="860"/>
      <c r="T8" s="615"/>
      <c r="U8" s="846">
        <v>70</v>
      </c>
      <c r="V8" s="678">
        <v>44328</v>
      </c>
      <c r="W8" s="863"/>
      <c r="X8" s="678"/>
      <c r="Y8" s="863"/>
      <c r="Z8" s="615"/>
      <c r="AA8" s="846"/>
      <c r="AB8" s="615"/>
      <c r="AC8" s="867"/>
      <c r="AD8" s="615"/>
      <c r="AE8" s="681"/>
      <c r="AF8" s="671">
        <v>44332</v>
      </c>
      <c r="AG8" s="843">
        <v>1000</v>
      </c>
      <c r="AH8" s="326">
        <v>0</v>
      </c>
      <c r="AI8" s="327">
        <f>E35</f>
        <v>0</v>
      </c>
    </row>
    <row r="9" spans="1:37" ht="15.75" thickBot="1" x14ac:dyDescent="0.3">
      <c r="A9" s="659"/>
      <c r="B9" s="661"/>
      <c r="C9" s="617"/>
      <c r="D9" s="673"/>
      <c r="E9" s="671">
        <v>44346</v>
      </c>
      <c r="F9" s="618">
        <v>114.76</v>
      </c>
      <c r="G9" s="673"/>
      <c r="H9" s="925">
        <v>13.7</v>
      </c>
      <c r="I9" s="618"/>
      <c r="J9" s="671"/>
      <c r="K9" s="618"/>
      <c r="L9" s="856"/>
      <c r="M9" s="687"/>
      <c r="N9" s="664"/>
      <c r="O9" s="684"/>
      <c r="P9" s="617"/>
      <c r="Q9" s="846">
        <v>50</v>
      </c>
      <c r="R9" s="678">
        <v>44342</v>
      </c>
      <c r="S9" s="860"/>
      <c r="T9" s="615"/>
      <c r="U9" s="846">
        <v>40</v>
      </c>
      <c r="V9" s="678">
        <v>44330</v>
      </c>
      <c r="W9" s="863"/>
      <c r="X9" s="678"/>
      <c r="Y9" s="863"/>
      <c r="Z9" s="615"/>
      <c r="AA9" s="846"/>
      <c r="AB9" s="615"/>
      <c r="AC9" s="867"/>
      <c r="AD9" s="615"/>
      <c r="AE9" s="681"/>
      <c r="AF9" s="671"/>
      <c r="AG9" s="843"/>
      <c r="AH9" s="1244">
        <f>AH8-AI8</f>
        <v>0</v>
      </c>
      <c r="AI9" s="1222"/>
    </row>
    <row r="10" spans="1:37" x14ac:dyDescent="0.25">
      <c r="A10" s="659"/>
      <c r="B10" s="661"/>
      <c r="C10" s="617"/>
      <c r="D10" s="928">
        <v>124.01</v>
      </c>
      <c r="E10" s="671">
        <v>44350</v>
      </c>
      <c r="F10" s="618"/>
      <c r="G10" s="673"/>
      <c r="H10" s="925">
        <v>1.1000000000000001</v>
      </c>
      <c r="I10" s="618"/>
      <c r="J10" s="671"/>
      <c r="K10" s="618"/>
      <c r="L10" s="856"/>
      <c r="M10" s="687"/>
      <c r="N10" s="664"/>
      <c r="O10" s="684"/>
      <c r="P10" s="617"/>
      <c r="Q10" s="846">
        <v>50</v>
      </c>
      <c r="R10" s="678">
        <v>44344</v>
      </c>
      <c r="S10" s="860"/>
      <c r="T10" s="615"/>
      <c r="U10" s="846">
        <v>20</v>
      </c>
      <c r="V10" s="678">
        <v>44331</v>
      </c>
      <c r="W10" s="863"/>
      <c r="X10" s="678"/>
      <c r="Y10" s="863"/>
      <c r="Z10" s="615"/>
      <c r="AA10" s="663"/>
      <c r="AB10" s="615"/>
      <c r="AC10" s="868"/>
      <c r="AD10" s="615"/>
      <c r="AE10" s="681"/>
      <c r="AF10" s="671"/>
      <c r="AG10" s="843"/>
      <c r="AH10" s="610"/>
    </row>
    <row r="11" spans="1:37" x14ac:dyDescent="0.25">
      <c r="A11" s="659"/>
      <c r="B11" s="661"/>
      <c r="C11" s="617"/>
      <c r="D11" s="673"/>
      <c r="E11" s="671"/>
      <c r="F11" s="618"/>
      <c r="G11" s="673"/>
      <c r="H11" s="925">
        <v>18.5</v>
      </c>
      <c r="I11" s="618"/>
      <c r="J11" s="671"/>
      <c r="K11" s="618"/>
      <c r="L11" s="856"/>
      <c r="M11" s="687"/>
      <c r="N11" s="843"/>
      <c r="O11" s="684"/>
      <c r="P11" s="617"/>
      <c r="Q11" s="846">
        <v>50</v>
      </c>
      <c r="R11" s="678">
        <v>44346</v>
      </c>
      <c r="S11" s="860"/>
      <c r="T11" s="615"/>
      <c r="U11" s="846">
        <v>40</v>
      </c>
      <c r="V11" s="678">
        <v>44333</v>
      </c>
      <c r="W11" s="863"/>
      <c r="X11" s="678"/>
      <c r="Y11" s="863"/>
      <c r="Z11" s="615"/>
      <c r="AA11" s="663"/>
      <c r="AB11" s="615"/>
      <c r="AC11" s="868"/>
      <c r="AD11" s="615"/>
      <c r="AE11" s="681"/>
      <c r="AF11" s="671"/>
      <c r="AG11" s="843"/>
      <c r="AH11" s="610"/>
    </row>
    <row r="12" spans="1:37" x14ac:dyDescent="0.25">
      <c r="A12" s="659"/>
      <c r="B12" s="661"/>
      <c r="C12" s="617"/>
      <c r="D12" s="673"/>
      <c r="E12" s="671"/>
      <c r="F12" s="618"/>
      <c r="G12" s="673"/>
      <c r="H12" s="676"/>
      <c r="I12" s="618"/>
      <c r="J12" s="671"/>
      <c r="K12" s="618"/>
      <c r="L12" s="856"/>
      <c r="M12" s="687"/>
      <c r="N12" s="664"/>
      <c r="O12" s="684"/>
      <c r="P12" s="617"/>
      <c r="Q12" s="846"/>
      <c r="R12" s="678"/>
      <c r="S12" s="860"/>
      <c r="T12" s="615"/>
      <c r="U12" s="846">
        <v>20</v>
      </c>
      <c r="V12" s="678">
        <v>44335</v>
      </c>
      <c r="W12" s="863"/>
      <c r="X12" s="678"/>
      <c r="Y12" s="863"/>
      <c r="Z12" s="615"/>
      <c r="AA12" s="663"/>
      <c r="AB12" s="615"/>
      <c r="AC12" s="868"/>
      <c r="AD12" s="615"/>
      <c r="AE12" s="681"/>
      <c r="AF12" s="671"/>
      <c r="AG12" s="843"/>
      <c r="AH12" s="610"/>
    </row>
    <row r="13" spans="1:37" x14ac:dyDescent="0.25">
      <c r="A13" s="659"/>
      <c r="B13" s="661"/>
      <c r="C13" s="617"/>
      <c r="D13" s="673"/>
      <c r="E13" s="671"/>
      <c r="F13" s="618"/>
      <c r="G13" s="673"/>
      <c r="H13" s="676"/>
      <c r="I13" s="618"/>
      <c r="J13" s="671"/>
      <c r="K13" s="618"/>
      <c r="L13" s="856"/>
      <c r="M13" s="687"/>
      <c r="N13" s="664"/>
      <c r="O13" s="684"/>
      <c r="P13" s="617"/>
      <c r="Q13" s="846"/>
      <c r="R13" s="678"/>
      <c r="S13" s="860"/>
      <c r="T13" s="615"/>
      <c r="U13" s="846">
        <v>10</v>
      </c>
      <c r="V13" s="678">
        <v>44336</v>
      </c>
      <c r="W13" s="863"/>
      <c r="X13" s="678"/>
      <c r="Y13" s="863"/>
      <c r="Z13" s="615"/>
      <c r="AA13" s="663"/>
      <c r="AB13" s="615"/>
      <c r="AC13" s="868"/>
      <c r="AD13" s="615"/>
      <c r="AE13" s="681"/>
      <c r="AF13" s="671"/>
      <c r="AG13" s="843"/>
      <c r="AH13" s="610"/>
    </row>
    <row r="14" spans="1:37" x14ac:dyDescent="0.25">
      <c r="A14" s="659"/>
      <c r="B14" s="661"/>
      <c r="C14" s="617"/>
      <c r="D14" s="673"/>
      <c r="E14" s="671"/>
      <c r="F14" s="618"/>
      <c r="G14" s="673"/>
      <c r="H14" s="676"/>
      <c r="I14" s="618"/>
      <c r="J14" s="671"/>
      <c r="K14" s="618"/>
      <c r="L14" s="856"/>
      <c r="M14" s="687"/>
      <c r="N14" s="664"/>
      <c r="O14" s="684"/>
      <c r="P14" s="617"/>
      <c r="Q14" s="846"/>
      <c r="R14" s="678"/>
      <c r="S14" s="860"/>
      <c r="T14" s="615"/>
      <c r="U14" s="846">
        <v>70</v>
      </c>
      <c r="V14" s="678">
        <v>44339</v>
      </c>
      <c r="W14" s="863"/>
      <c r="X14" s="678"/>
      <c r="Y14" s="863"/>
      <c r="Z14" s="615"/>
      <c r="AA14" s="663"/>
      <c r="AB14" s="615"/>
      <c r="AC14" s="868"/>
      <c r="AD14" s="615"/>
      <c r="AE14" s="681"/>
      <c r="AF14" s="671"/>
      <c r="AG14" s="664"/>
      <c r="AH14" s="610"/>
    </row>
    <row r="15" spans="1:37" x14ac:dyDescent="0.25">
      <c r="A15" s="659"/>
      <c r="B15" s="661"/>
      <c r="C15" s="617"/>
      <c r="D15" s="673"/>
      <c r="E15" s="671"/>
      <c r="F15" s="618"/>
      <c r="G15" s="673"/>
      <c r="H15" s="676"/>
      <c r="I15" s="618"/>
      <c r="J15" s="671"/>
      <c r="K15" s="618"/>
      <c r="L15" s="856"/>
      <c r="M15" s="687"/>
      <c r="N15" s="664"/>
      <c r="O15" s="684"/>
      <c r="P15" s="617"/>
      <c r="Q15" s="846"/>
      <c r="R15" s="678"/>
      <c r="S15" s="860"/>
      <c r="T15" s="615"/>
      <c r="U15" s="846">
        <v>20</v>
      </c>
      <c r="V15" s="678">
        <v>44342</v>
      </c>
      <c r="W15" s="864"/>
      <c r="X15" s="678"/>
      <c r="Y15" s="863"/>
      <c r="Z15" s="615"/>
      <c r="AA15" s="663"/>
      <c r="AB15" s="615"/>
      <c r="AC15" s="868"/>
      <c r="AD15" s="615"/>
      <c r="AE15" s="681"/>
      <c r="AF15" s="671"/>
      <c r="AG15" s="664"/>
      <c r="AH15" s="610"/>
    </row>
    <row r="16" spans="1:37" x14ac:dyDescent="0.25">
      <c r="A16" s="659"/>
      <c r="B16" s="661"/>
      <c r="C16" s="617"/>
      <c r="D16" s="673"/>
      <c r="E16" s="671"/>
      <c r="F16" s="618"/>
      <c r="G16" s="673"/>
      <c r="H16" s="676"/>
      <c r="I16" s="618"/>
      <c r="J16" s="671"/>
      <c r="K16" s="618"/>
      <c r="L16" s="856"/>
      <c r="M16" s="687"/>
      <c r="N16" s="664"/>
      <c r="O16" s="684"/>
      <c r="P16" s="617"/>
      <c r="Q16" s="846"/>
      <c r="R16" s="678"/>
      <c r="S16" s="860"/>
      <c r="T16" s="615"/>
      <c r="U16" s="846">
        <v>80</v>
      </c>
      <c r="V16" s="678">
        <v>44346</v>
      </c>
      <c r="W16" s="864"/>
      <c r="X16" s="678"/>
      <c r="Y16" s="863"/>
      <c r="Z16" s="615"/>
      <c r="AA16" s="663"/>
      <c r="AB16" s="615"/>
      <c r="AC16" s="868"/>
      <c r="AD16" s="615"/>
      <c r="AE16" s="681"/>
      <c r="AF16" s="671"/>
      <c r="AG16" s="664"/>
      <c r="AH16" s="610"/>
    </row>
    <row r="17" spans="1:34" x14ac:dyDescent="0.25">
      <c r="A17" s="659"/>
      <c r="B17" s="661"/>
      <c r="C17" s="617"/>
      <c r="D17" s="673"/>
      <c r="E17" s="671"/>
      <c r="F17" s="618"/>
      <c r="G17" s="673"/>
      <c r="H17" s="676"/>
      <c r="I17" s="618"/>
      <c r="J17" s="671"/>
      <c r="K17" s="618"/>
      <c r="L17" s="856"/>
      <c r="M17" s="687"/>
      <c r="N17" s="664"/>
      <c r="O17" s="684"/>
      <c r="P17" s="617"/>
      <c r="Q17" s="846"/>
      <c r="R17" s="678"/>
      <c r="S17" s="860"/>
      <c r="T17" s="615"/>
      <c r="U17" s="846">
        <v>100</v>
      </c>
      <c r="V17" s="678"/>
      <c r="W17" s="864"/>
      <c r="X17" s="678"/>
      <c r="Y17" s="863"/>
      <c r="Z17" s="615"/>
      <c r="AA17" s="663"/>
      <c r="AB17" s="615"/>
      <c r="AC17" s="868"/>
      <c r="AD17" s="615"/>
      <c r="AE17" s="681"/>
      <c r="AF17" s="671"/>
      <c r="AG17" s="664"/>
      <c r="AH17" s="610"/>
    </row>
    <row r="18" spans="1:34" x14ac:dyDescent="0.25">
      <c r="A18" s="659"/>
      <c r="B18" s="661"/>
      <c r="C18" s="617"/>
      <c r="D18" s="673"/>
      <c r="E18" s="671"/>
      <c r="F18" s="618"/>
      <c r="G18" s="673"/>
      <c r="H18" s="676"/>
      <c r="I18" s="618"/>
      <c r="J18" s="671"/>
      <c r="K18" s="618"/>
      <c r="L18" s="856"/>
      <c r="M18" s="687"/>
      <c r="N18" s="664"/>
      <c r="O18" s="684"/>
      <c r="P18" s="617"/>
      <c r="Q18" s="846"/>
      <c r="R18" s="678"/>
      <c r="S18" s="860"/>
      <c r="T18" s="615"/>
      <c r="U18" s="846"/>
      <c r="V18" s="678"/>
      <c r="W18" s="864"/>
      <c r="X18" s="678"/>
      <c r="Y18" s="864"/>
      <c r="Z18" s="615"/>
      <c r="AA18" s="663"/>
      <c r="AB18" s="615"/>
      <c r="AC18" s="868"/>
      <c r="AD18" s="615"/>
      <c r="AE18" s="681"/>
      <c r="AF18" s="671"/>
      <c r="AG18" s="664"/>
      <c r="AH18" s="610"/>
    </row>
    <row r="19" spans="1:34" x14ac:dyDescent="0.25">
      <c r="A19" s="659"/>
      <c r="B19" s="661"/>
      <c r="C19" s="617"/>
      <c r="D19" s="673"/>
      <c r="E19" s="671"/>
      <c r="F19" s="618"/>
      <c r="G19" s="673"/>
      <c r="H19" s="676"/>
      <c r="I19" s="618"/>
      <c r="J19" s="671"/>
      <c r="K19" s="618"/>
      <c r="L19" s="856"/>
      <c r="M19" s="687"/>
      <c r="N19" s="664"/>
      <c r="O19" s="684"/>
      <c r="P19" s="617"/>
      <c r="Q19" s="846"/>
      <c r="R19" s="678"/>
      <c r="S19" s="860"/>
      <c r="T19" s="615"/>
      <c r="U19" s="846"/>
      <c r="V19" s="678"/>
      <c r="W19" s="864"/>
      <c r="X19" s="678"/>
      <c r="Y19" s="864"/>
      <c r="Z19" s="615"/>
      <c r="AA19" s="663"/>
      <c r="AB19" s="615"/>
      <c r="AC19" s="868"/>
      <c r="AD19" s="615"/>
      <c r="AE19" s="681"/>
      <c r="AF19" s="671"/>
      <c r="AG19" s="664"/>
      <c r="AH19" s="614"/>
    </row>
    <row r="20" spans="1:34" x14ac:dyDescent="0.25">
      <c r="A20" s="659"/>
      <c r="B20" s="661"/>
      <c r="C20" s="617"/>
      <c r="D20" s="673"/>
      <c r="E20" s="671"/>
      <c r="F20" s="618"/>
      <c r="G20" s="673"/>
      <c r="H20" s="676"/>
      <c r="I20" s="618"/>
      <c r="J20" s="671"/>
      <c r="K20" s="618"/>
      <c r="L20" s="856"/>
      <c r="M20" s="687"/>
      <c r="N20" s="664"/>
      <c r="O20" s="684"/>
      <c r="P20" s="617"/>
      <c r="Q20" s="846"/>
      <c r="R20" s="678"/>
      <c r="S20" s="860"/>
      <c r="T20" s="615"/>
      <c r="U20" s="846"/>
      <c r="V20" s="678"/>
      <c r="W20" s="864"/>
      <c r="X20" s="678"/>
      <c r="Y20" s="864"/>
      <c r="Z20" s="615"/>
      <c r="AA20" s="663"/>
      <c r="AB20" s="615"/>
      <c r="AC20" s="868"/>
      <c r="AD20" s="615"/>
      <c r="AE20" s="681"/>
      <c r="AF20" s="671"/>
      <c r="AG20" s="664"/>
      <c r="AH20" s="614"/>
    </row>
    <row r="21" spans="1:34" x14ac:dyDescent="0.25">
      <c r="A21" s="659"/>
      <c r="B21" s="661"/>
      <c r="C21" s="617"/>
      <c r="D21" s="673"/>
      <c r="E21" s="671"/>
      <c r="F21" s="618"/>
      <c r="G21" s="673"/>
      <c r="H21" s="676"/>
      <c r="I21" s="618"/>
      <c r="J21" s="671"/>
      <c r="K21" s="618"/>
      <c r="L21" s="856"/>
      <c r="M21" s="687"/>
      <c r="N21" s="664"/>
      <c r="O21" s="684"/>
      <c r="P21" s="617"/>
      <c r="Q21" s="846"/>
      <c r="R21" s="678"/>
      <c r="S21" s="860"/>
      <c r="T21" s="615"/>
      <c r="U21" s="846"/>
      <c r="V21" s="678"/>
      <c r="W21" s="864"/>
      <c r="X21" s="678"/>
      <c r="Y21" s="864"/>
      <c r="Z21" s="615"/>
      <c r="AA21" s="663"/>
      <c r="AB21" s="615"/>
      <c r="AC21" s="868"/>
      <c r="AD21" s="615"/>
      <c r="AE21" s="681"/>
      <c r="AF21" s="671"/>
      <c r="AG21" s="664"/>
      <c r="AH21" s="614"/>
    </row>
    <row r="22" spans="1:34" x14ac:dyDescent="0.25">
      <c r="A22" s="659"/>
      <c r="B22" s="661"/>
      <c r="C22" s="617"/>
      <c r="D22" s="673"/>
      <c r="E22" s="671"/>
      <c r="F22" s="618"/>
      <c r="G22" s="673"/>
      <c r="H22" s="676"/>
      <c r="I22" s="618"/>
      <c r="J22" s="671"/>
      <c r="K22" s="618"/>
      <c r="L22" s="856"/>
      <c r="M22" s="687"/>
      <c r="N22" s="664"/>
      <c r="O22" s="684"/>
      <c r="P22" s="617"/>
      <c r="Q22" s="846"/>
      <c r="R22" s="678"/>
      <c r="S22" s="860"/>
      <c r="T22" s="615"/>
      <c r="U22" s="846"/>
      <c r="V22" s="678"/>
      <c r="W22" s="864"/>
      <c r="X22" s="678"/>
      <c r="Y22" s="864"/>
      <c r="Z22" s="615"/>
      <c r="AA22" s="663"/>
      <c r="AB22" s="615"/>
      <c r="AC22" s="868"/>
      <c r="AD22" s="615"/>
      <c r="AE22" s="681"/>
      <c r="AF22" s="671"/>
      <c r="AG22" s="664"/>
      <c r="AH22" s="614"/>
    </row>
    <row r="23" spans="1:34" x14ac:dyDescent="0.25">
      <c r="A23" s="659"/>
      <c r="B23" s="661"/>
      <c r="C23" s="617"/>
      <c r="D23" s="673"/>
      <c r="E23" s="671"/>
      <c r="F23" s="618"/>
      <c r="G23" s="673"/>
      <c r="H23" s="676"/>
      <c r="I23" s="618"/>
      <c r="J23" s="671"/>
      <c r="K23" s="618"/>
      <c r="L23" s="856"/>
      <c r="M23" s="687"/>
      <c r="N23" s="664"/>
      <c r="O23" s="684"/>
      <c r="P23" s="617"/>
      <c r="Q23" s="846"/>
      <c r="R23" s="678"/>
      <c r="S23" s="860"/>
      <c r="T23" s="615"/>
      <c r="U23" s="846"/>
      <c r="V23" s="678"/>
      <c r="W23" s="864"/>
      <c r="X23" s="678"/>
      <c r="Y23" s="864"/>
      <c r="Z23" s="615"/>
      <c r="AA23" s="663"/>
      <c r="AB23" s="615"/>
      <c r="AC23" s="868"/>
      <c r="AD23" s="615"/>
      <c r="AE23" s="681"/>
      <c r="AF23" s="671"/>
      <c r="AG23" s="664"/>
      <c r="AH23" s="614"/>
    </row>
    <row r="24" spans="1:34" x14ac:dyDescent="0.25">
      <c r="A24" s="659"/>
      <c r="B24" s="661"/>
      <c r="C24" s="617"/>
      <c r="D24" s="673"/>
      <c r="E24" s="671"/>
      <c r="F24" s="618"/>
      <c r="G24" s="673"/>
      <c r="H24" s="676"/>
      <c r="I24" s="618"/>
      <c r="J24" s="671"/>
      <c r="K24" s="618"/>
      <c r="L24" s="856"/>
      <c r="M24" s="687"/>
      <c r="N24" s="664"/>
      <c r="O24" s="684"/>
      <c r="P24" s="617"/>
      <c r="Q24" s="846"/>
      <c r="R24" s="678"/>
      <c r="S24" s="860"/>
      <c r="T24" s="615"/>
      <c r="U24" s="846"/>
      <c r="V24" s="678"/>
      <c r="W24" s="864"/>
      <c r="X24" s="678"/>
      <c r="Y24" s="864"/>
      <c r="Z24" s="615"/>
      <c r="AA24" s="663"/>
      <c r="AB24" s="615"/>
      <c r="AC24" s="868"/>
      <c r="AD24" s="615"/>
      <c r="AE24" s="681"/>
      <c r="AF24" s="671"/>
      <c r="AG24" s="664"/>
      <c r="AH24" s="614"/>
    </row>
    <row r="25" spans="1:34" x14ac:dyDescent="0.25">
      <c r="A25" s="659"/>
      <c r="B25" s="661"/>
      <c r="C25" s="617"/>
      <c r="D25" s="673"/>
      <c r="E25" s="671"/>
      <c r="F25" s="618"/>
      <c r="G25" s="673"/>
      <c r="H25" s="676"/>
      <c r="I25" s="618"/>
      <c r="J25" s="671"/>
      <c r="K25" s="618"/>
      <c r="L25" s="856"/>
      <c r="M25" s="687"/>
      <c r="N25" s="664"/>
      <c r="O25" s="684"/>
      <c r="P25" s="617"/>
      <c r="Q25" s="846"/>
      <c r="R25" s="678"/>
      <c r="S25" s="860"/>
      <c r="T25" s="615"/>
      <c r="U25" s="846"/>
      <c r="V25" s="678"/>
      <c r="W25" s="864"/>
      <c r="X25" s="678"/>
      <c r="Y25" s="864"/>
      <c r="Z25" s="615"/>
      <c r="AA25" s="663"/>
      <c r="AB25" s="615"/>
      <c r="AC25" s="868"/>
      <c r="AD25" s="615"/>
      <c r="AE25" s="681"/>
      <c r="AF25" s="671"/>
      <c r="AG25" s="664"/>
      <c r="AH25" s="614"/>
    </row>
    <row r="26" spans="1:34" x14ac:dyDescent="0.25">
      <c r="A26" s="659"/>
      <c r="B26" s="661"/>
      <c r="C26" s="617"/>
      <c r="D26" s="673"/>
      <c r="E26" s="671"/>
      <c r="F26" s="618"/>
      <c r="G26" s="673"/>
      <c r="H26" s="676"/>
      <c r="I26" s="618"/>
      <c r="J26" s="671"/>
      <c r="K26" s="618"/>
      <c r="L26" s="856"/>
      <c r="M26" s="687"/>
      <c r="N26" s="664"/>
      <c r="O26" s="684"/>
      <c r="P26" s="617"/>
      <c r="Q26" s="846"/>
      <c r="R26" s="678"/>
      <c r="S26" s="860"/>
      <c r="T26" s="615"/>
      <c r="U26" s="846"/>
      <c r="V26" s="678"/>
      <c r="W26" s="864"/>
      <c r="X26" s="678"/>
      <c r="Y26" s="864"/>
      <c r="Z26" s="615"/>
      <c r="AA26" s="663"/>
      <c r="AB26" s="615"/>
      <c r="AC26" s="868"/>
      <c r="AD26" s="615"/>
      <c r="AE26" s="681"/>
      <c r="AF26" s="671"/>
      <c r="AG26" s="664"/>
      <c r="AH26" s="614"/>
    </row>
    <row r="27" spans="1:34" x14ac:dyDescent="0.25">
      <c r="A27" s="659"/>
      <c r="B27" s="661"/>
      <c r="C27" s="617"/>
      <c r="D27" s="673"/>
      <c r="E27" s="671"/>
      <c r="F27" s="618"/>
      <c r="G27" s="673"/>
      <c r="H27" s="676"/>
      <c r="I27" s="618"/>
      <c r="J27" s="671"/>
      <c r="K27" s="618"/>
      <c r="L27" s="856"/>
      <c r="M27" s="687"/>
      <c r="N27" s="664"/>
      <c r="O27" s="684"/>
      <c r="P27" s="617"/>
      <c r="Q27" s="846"/>
      <c r="R27" s="678"/>
      <c r="S27" s="860"/>
      <c r="T27" s="615"/>
      <c r="U27" s="846"/>
      <c r="V27" s="678"/>
      <c r="W27" s="864"/>
      <c r="X27" s="678"/>
      <c r="Y27" s="864"/>
      <c r="Z27" s="615"/>
      <c r="AA27" s="663"/>
      <c r="AB27" s="615"/>
      <c r="AC27" s="868"/>
      <c r="AD27" s="615"/>
      <c r="AE27" s="681"/>
      <c r="AF27" s="671"/>
      <c r="AG27" s="664"/>
      <c r="AH27" s="614"/>
    </row>
    <row r="28" spans="1:34" x14ac:dyDescent="0.25">
      <c r="A28" s="659"/>
      <c r="B28" s="661"/>
      <c r="C28" s="617"/>
      <c r="D28" s="673"/>
      <c r="E28" s="671"/>
      <c r="F28" s="618"/>
      <c r="G28" s="673"/>
      <c r="H28" s="676"/>
      <c r="I28" s="618"/>
      <c r="J28" s="671"/>
      <c r="K28" s="618"/>
      <c r="L28" s="856"/>
      <c r="M28" s="687"/>
      <c r="N28" s="664"/>
      <c r="O28" s="684"/>
      <c r="P28" s="617"/>
      <c r="Q28" s="846"/>
      <c r="R28" s="678"/>
      <c r="S28" s="860"/>
      <c r="T28" s="615"/>
      <c r="U28" s="846"/>
      <c r="V28" s="678"/>
      <c r="W28" s="864"/>
      <c r="X28" s="678"/>
      <c r="Y28" s="864"/>
      <c r="Z28" s="615"/>
      <c r="AA28" s="663"/>
      <c r="AB28" s="615"/>
      <c r="AC28" s="868"/>
      <c r="AD28" s="615"/>
      <c r="AE28" s="681"/>
      <c r="AF28" s="671"/>
      <c r="AG28" s="664"/>
      <c r="AH28" s="614"/>
    </row>
    <row r="29" spans="1:34" x14ac:dyDescent="0.25">
      <c r="A29" s="659"/>
      <c r="B29" s="661"/>
      <c r="C29" s="617"/>
      <c r="D29" s="673"/>
      <c r="E29" s="671"/>
      <c r="F29" s="618"/>
      <c r="G29" s="673"/>
      <c r="H29" s="676"/>
      <c r="I29" s="618"/>
      <c r="J29" s="671"/>
      <c r="K29" s="618"/>
      <c r="L29" s="856"/>
      <c r="M29" s="687"/>
      <c r="N29" s="664"/>
      <c r="O29" s="684"/>
      <c r="P29" s="617"/>
      <c r="Q29" s="846"/>
      <c r="R29" s="678"/>
      <c r="S29" s="860"/>
      <c r="T29" s="615"/>
      <c r="U29" s="846"/>
      <c r="V29" s="678"/>
      <c r="W29" s="864"/>
      <c r="X29" s="678"/>
      <c r="Y29" s="864"/>
      <c r="Z29" s="615"/>
      <c r="AA29" s="663"/>
      <c r="AB29" s="615"/>
      <c r="AC29" s="868"/>
      <c r="AD29" s="615"/>
      <c r="AE29" s="681"/>
      <c r="AF29" s="671"/>
      <c r="AG29" s="664"/>
      <c r="AH29" s="614"/>
    </row>
    <row r="30" spans="1:34" x14ac:dyDescent="0.25">
      <c r="A30" s="659"/>
      <c r="B30" s="661"/>
      <c r="C30" s="617"/>
      <c r="D30" s="673"/>
      <c r="E30" s="671"/>
      <c r="F30" s="618"/>
      <c r="G30" s="673"/>
      <c r="H30" s="676"/>
      <c r="I30" s="618"/>
      <c r="J30" s="671"/>
      <c r="K30" s="618"/>
      <c r="L30" s="856"/>
      <c r="M30" s="687"/>
      <c r="N30" s="664"/>
      <c r="O30" s="684"/>
      <c r="P30" s="617"/>
      <c r="Q30" s="846"/>
      <c r="R30" s="678"/>
      <c r="S30" s="860"/>
      <c r="T30" s="615"/>
      <c r="U30" s="846"/>
      <c r="V30" s="678"/>
      <c r="W30" s="864"/>
      <c r="X30" s="678"/>
      <c r="Y30" s="864"/>
      <c r="Z30" s="615"/>
      <c r="AA30" s="663"/>
      <c r="AB30" s="615"/>
      <c r="AC30" s="868"/>
      <c r="AD30" s="615"/>
      <c r="AE30" s="681"/>
      <c r="AF30" s="671"/>
      <c r="AG30" s="664"/>
      <c r="AH30" s="614"/>
    </row>
    <row r="31" spans="1:34" x14ac:dyDescent="0.25">
      <c r="A31" s="659"/>
      <c r="B31" s="661"/>
      <c r="C31" s="617"/>
      <c r="D31" s="673"/>
      <c r="E31" s="671"/>
      <c r="F31" s="618"/>
      <c r="G31" s="673"/>
      <c r="H31" s="676"/>
      <c r="I31" s="618"/>
      <c r="J31" s="671"/>
      <c r="K31" s="618"/>
      <c r="L31" s="856"/>
      <c r="M31" s="687"/>
      <c r="N31" s="664"/>
      <c r="O31" s="684"/>
      <c r="P31" s="617"/>
      <c r="Q31" s="846"/>
      <c r="R31" s="678"/>
      <c r="S31" s="860"/>
      <c r="T31" s="615"/>
      <c r="U31" s="846"/>
      <c r="V31" s="678"/>
      <c r="W31" s="864"/>
      <c r="X31" s="678"/>
      <c r="Y31" s="864"/>
      <c r="Z31" s="615"/>
      <c r="AA31" s="663"/>
      <c r="AB31" s="615"/>
      <c r="AC31" s="868"/>
      <c r="AD31" s="615"/>
      <c r="AE31" s="681"/>
      <c r="AF31" s="671"/>
      <c r="AG31" s="664"/>
      <c r="AH31" s="614"/>
    </row>
    <row r="32" spans="1:34" x14ac:dyDescent="0.25">
      <c r="A32" s="659"/>
      <c r="B32" s="661"/>
      <c r="C32" s="617"/>
      <c r="D32" s="673"/>
      <c r="E32" s="671"/>
      <c r="F32" s="618"/>
      <c r="G32" s="673"/>
      <c r="H32" s="676"/>
      <c r="I32" s="618"/>
      <c r="J32" s="671"/>
      <c r="K32" s="618"/>
      <c r="L32" s="856"/>
      <c r="M32" s="687"/>
      <c r="N32" s="664"/>
      <c r="O32" s="684"/>
      <c r="P32" s="617"/>
      <c r="Q32" s="846"/>
      <c r="R32" s="678"/>
      <c r="S32" s="860"/>
      <c r="T32" s="615"/>
      <c r="U32" s="846"/>
      <c r="V32" s="678"/>
      <c r="W32" s="864"/>
      <c r="X32" s="678"/>
      <c r="Y32" s="864"/>
      <c r="Z32" s="615"/>
      <c r="AA32" s="663"/>
      <c r="AB32" s="615"/>
      <c r="AC32" s="868"/>
      <c r="AD32" s="615"/>
      <c r="AE32" s="681"/>
      <c r="AF32" s="671"/>
      <c r="AG32" s="664"/>
      <c r="AH32" s="614"/>
    </row>
    <row r="33" spans="1:34" ht="15.75" thickBot="1" x14ac:dyDescent="0.3">
      <c r="A33" s="660"/>
      <c r="B33" s="662"/>
      <c r="C33" s="667"/>
      <c r="D33" s="674"/>
      <c r="E33" s="672"/>
      <c r="F33" s="675"/>
      <c r="G33" s="674"/>
      <c r="H33" s="677"/>
      <c r="I33" s="624"/>
      <c r="J33" s="691"/>
      <c r="K33" s="624"/>
      <c r="L33" s="857"/>
      <c r="M33" s="688"/>
      <c r="N33" s="666"/>
      <c r="O33" s="686"/>
      <c r="P33" s="623"/>
      <c r="Q33" s="854"/>
      <c r="R33" s="679"/>
      <c r="S33" s="861"/>
      <c r="T33" s="616"/>
      <c r="U33" s="854"/>
      <c r="V33" s="679"/>
      <c r="W33" s="865"/>
      <c r="X33" s="679"/>
      <c r="Y33" s="865"/>
      <c r="Z33" s="680"/>
      <c r="AA33" s="665"/>
      <c r="AB33" s="680"/>
      <c r="AC33" s="869"/>
      <c r="AD33" s="680"/>
      <c r="AE33" s="682"/>
      <c r="AF33" s="683"/>
      <c r="AG33" s="666"/>
      <c r="AH33" s="614"/>
    </row>
    <row r="34" spans="1:34" ht="15.75" thickBot="1" x14ac:dyDescent="0.3">
      <c r="A34" s="1285" t="s">
        <v>102</v>
      </c>
      <c r="B34" s="1284"/>
      <c r="C34" s="1284"/>
      <c r="D34" s="668" t="s">
        <v>103</v>
      </c>
      <c r="E34" s="669" t="s">
        <v>61</v>
      </c>
      <c r="F34" s="670" t="s">
        <v>103</v>
      </c>
      <c r="G34" s="1285" t="s">
        <v>103</v>
      </c>
      <c r="H34" s="1284"/>
      <c r="I34" s="1305" t="s">
        <v>102</v>
      </c>
      <c r="J34" s="1287"/>
      <c r="K34" s="1287"/>
      <c r="L34" s="1306" t="s">
        <v>102</v>
      </c>
      <c r="M34" s="1284"/>
      <c r="N34" s="1284"/>
      <c r="O34" s="1305" t="s">
        <v>104</v>
      </c>
      <c r="P34" s="1307"/>
      <c r="Q34" s="1276" t="s">
        <v>104</v>
      </c>
      <c r="R34" s="1299"/>
      <c r="S34" s="1276" t="s">
        <v>104</v>
      </c>
      <c r="T34" s="1299"/>
      <c r="U34" s="1276" t="s">
        <v>104</v>
      </c>
      <c r="V34" s="1304"/>
      <c r="W34" s="1308"/>
      <c r="X34" s="1309"/>
      <c r="Y34" s="1308"/>
      <c r="Z34" s="1309"/>
      <c r="AA34" s="1285" t="s">
        <v>102</v>
      </c>
      <c r="AB34" s="1304"/>
      <c r="AC34" s="1276" t="s">
        <v>102</v>
      </c>
      <c r="AD34" s="1304"/>
      <c r="AE34" s="1283" t="s">
        <v>102</v>
      </c>
      <c r="AF34" s="1284"/>
      <c r="AG34" s="1304"/>
      <c r="AH34" s="614"/>
    </row>
    <row r="35" spans="1:34" x14ac:dyDescent="0.25">
      <c r="A35" s="872">
        <f>SUM(A3:A33)</f>
        <v>1999.2</v>
      </c>
      <c r="B35" s="626"/>
      <c r="C35" s="627">
        <f>SUM(C3:C33)</f>
        <v>0</v>
      </c>
      <c r="D35" s="871">
        <f>SUM(D3:D33)</f>
        <v>645.01</v>
      </c>
      <c r="E35" s="629">
        <v>0</v>
      </c>
      <c r="F35" s="870">
        <f>SUM(F3:F33)</f>
        <v>214.76</v>
      </c>
      <c r="G35" s="628">
        <f>SUM(G3:G33)</f>
        <v>0</v>
      </c>
      <c r="H35" s="630">
        <f>SUM(H3:H33)</f>
        <v>104.39999999999999</v>
      </c>
      <c r="I35" s="628">
        <f>SUM(I3:I33)</f>
        <v>0</v>
      </c>
      <c r="J35" s="629"/>
      <c r="K35" s="630">
        <f>SUM(K3:K33)</f>
        <v>0</v>
      </c>
      <c r="L35" s="631">
        <f>SUM(L3:L33)</f>
        <v>0</v>
      </c>
      <c r="M35" s="873">
        <f>N3+N4+N5+N6+N7+N8+N9+N10</f>
        <v>55.05</v>
      </c>
      <c r="N35" s="870">
        <f>N27+N28+N29+N30+N31+N32+N33</f>
        <v>0</v>
      </c>
      <c r="O35" s="871">
        <f>O3+O5</f>
        <v>1150.19</v>
      </c>
      <c r="P35" s="632">
        <f>P3</f>
        <v>0</v>
      </c>
      <c r="Q35" s="880">
        <f>SUM(Q3:Q33)</f>
        <v>450</v>
      </c>
      <c r="R35" s="884">
        <v>0</v>
      </c>
      <c r="S35" s="880">
        <f>SUM(S3:S33)</f>
        <v>400</v>
      </c>
      <c r="T35" s="884">
        <v>0</v>
      </c>
      <c r="U35" s="880">
        <f>SUM(U3:U33)</f>
        <v>700</v>
      </c>
      <c r="V35" s="889">
        <v>0</v>
      </c>
      <c r="W35" s="881">
        <f>SUM(W3:W33)</f>
        <v>300</v>
      </c>
      <c r="X35" s="890">
        <v>0</v>
      </c>
      <c r="Y35" s="847">
        <f>SUM(Y3:Y33)</f>
        <v>0</v>
      </c>
      <c r="Z35" s="847"/>
      <c r="AA35" s="628">
        <f>SUM(AA3:AA33)</f>
        <v>0</v>
      </c>
      <c r="AB35" s="630"/>
      <c r="AC35" s="628">
        <f>SUM(AC3:AC33)</f>
        <v>0</v>
      </c>
      <c r="AD35" s="630"/>
      <c r="AE35" s="631">
        <f>SUM(AE3:AE33)</f>
        <v>0</v>
      </c>
      <c r="AF35" s="629"/>
      <c r="AG35" s="633">
        <f>SUM(AG3:AG33)</f>
        <v>3310</v>
      </c>
      <c r="AH35" s="614"/>
    </row>
    <row r="36" spans="1:34" x14ac:dyDescent="0.25">
      <c r="A36" s="634"/>
      <c r="B36" s="635"/>
      <c r="C36" s="636"/>
      <c r="D36" s="634"/>
      <c r="E36" s="635"/>
      <c r="F36" s="636"/>
      <c r="G36" s="634"/>
      <c r="H36" s="636"/>
      <c r="I36" s="634"/>
      <c r="J36" s="635"/>
      <c r="K36" s="636"/>
      <c r="L36" s="634"/>
      <c r="M36" s="635" t="s">
        <v>49</v>
      </c>
      <c r="N36" s="636" t="s">
        <v>46</v>
      </c>
      <c r="O36" s="883">
        <v>0</v>
      </c>
      <c r="P36" s="636" t="s">
        <v>355</v>
      </c>
      <c r="Q36" s="883">
        <v>350</v>
      </c>
      <c r="R36" s="636" t="s">
        <v>354</v>
      </c>
      <c r="S36" s="883">
        <v>400</v>
      </c>
      <c r="T36" s="636" t="s">
        <v>355</v>
      </c>
      <c r="U36" s="883">
        <v>700</v>
      </c>
      <c r="V36" s="637" t="s">
        <v>355</v>
      </c>
      <c r="W36" s="886">
        <v>300</v>
      </c>
      <c r="X36" s="891" t="s">
        <v>355</v>
      </c>
      <c r="Y36" s="848"/>
      <c r="Z36" s="848"/>
      <c r="AA36" s="634">
        <v>0</v>
      </c>
      <c r="AB36" s="636" t="s">
        <v>264</v>
      </c>
      <c r="AC36" s="634"/>
      <c r="AD36" s="636"/>
      <c r="AE36" s="634"/>
      <c r="AF36" s="635"/>
      <c r="AG36" s="637"/>
      <c r="AH36" s="614"/>
    </row>
    <row r="37" spans="1:34" ht="15.75" thickBot="1" x14ac:dyDescent="0.3">
      <c r="A37" s="638"/>
      <c r="B37" s="639"/>
      <c r="C37" s="640"/>
      <c r="D37" s="638"/>
      <c r="E37" s="639"/>
      <c r="F37" s="640"/>
      <c r="G37" s="638"/>
      <c r="H37" s="640"/>
      <c r="I37" s="638"/>
      <c r="J37" s="639"/>
      <c r="K37" s="640"/>
      <c r="L37" s="638"/>
      <c r="M37" s="639"/>
      <c r="N37" s="640"/>
      <c r="O37" s="882">
        <f>O35-O36</f>
        <v>1150.19</v>
      </c>
      <c r="P37" s="640" t="s">
        <v>263</v>
      </c>
      <c r="Q37" s="885">
        <f>Q35-Q36</f>
        <v>100</v>
      </c>
      <c r="R37" s="640" t="s">
        <v>264</v>
      </c>
      <c r="S37" s="885">
        <f>S35-S36</f>
        <v>0</v>
      </c>
      <c r="T37" s="640" t="s">
        <v>264</v>
      </c>
      <c r="U37" s="885">
        <f>U35-U36</f>
        <v>0</v>
      </c>
      <c r="V37" s="641" t="s">
        <v>264</v>
      </c>
      <c r="W37" s="887">
        <f>W35-W36</f>
        <v>0</v>
      </c>
      <c r="X37" s="892"/>
      <c r="Y37" s="850"/>
      <c r="Z37" s="849"/>
      <c r="AA37" s="638">
        <f>AA35-AA36</f>
        <v>0</v>
      </c>
      <c r="AB37" s="640" t="s">
        <v>264</v>
      </c>
      <c r="AC37" s="638"/>
      <c r="AD37" s="640"/>
      <c r="AE37" s="638"/>
      <c r="AF37" s="639"/>
      <c r="AG37" s="641"/>
      <c r="AH37" s="614"/>
    </row>
    <row r="38" spans="1:34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/>
      <c r="P38" s="610"/>
      <c r="Q38" s="888">
        <v>88</v>
      </c>
      <c r="R38" s="614" t="s">
        <v>359</v>
      </c>
      <c r="S38" s="610">
        <v>2600</v>
      </c>
      <c r="T38" s="610" t="s">
        <v>305</v>
      </c>
      <c r="U38" s="610">
        <v>750</v>
      </c>
      <c r="V38" s="610" t="s">
        <v>356</v>
      </c>
      <c r="W38" s="610"/>
      <c r="X38" s="610"/>
      <c r="Y38" s="610"/>
      <c r="Z38" s="610"/>
      <c r="AA38" s="610"/>
      <c r="AB38" s="610"/>
      <c r="AC38" s="610"/>
      <c r="AD38" s="610"/>
      <c r="AE38" s="610"/>
      <c r="AF38" s="610"/>
      <c r="AG38" s="610"/>
    </row>
    <row r="39" spans="1:34" x14ac:dyDescent="0.25">
      <c r="Q39" s="36">
        <v>2020</v>
      </c>
      <c r="R39" s="30" t="s">
        <v>358</v>
      </c>
      <c r="S39">
        <v>750</v>
      </c>
      <c r="T39" t="s">
        <v>356</v>
      </c>
      <c r="U39">
        <v>300</v>
      </c>
      <c r="V39" t="s">
        <v>394</v>
      </c>
    </row>
    <row r="40" spans="1:34" x14ac:dyDescent="0.25">
      <c r="Q40" s="36">
        <v>975</v>
      </c>
      <c r="R40" s="30" t="s">
        <v>356</v>
      </c>
      <c r="S40">
        <v>500</v>
      </c>
      <c r="T40" t="s">
        <v>393</v>
      </c>
      <c r="U40">
        <v>500</v>
      </c>
      <c r="V40" t="s">
        <v>394</v>
      </c>
    </row>
    <row r="41" spans="1:34" x14ac:dyDescent="0.25">
      <c r="Q41" s="36">
        <v>10000</v>
      </c>
      <c r="R41" s="30" t="s">
        <v>49</v>
      </c>
      <c r="S41">
        <f>SUM(S38,S39,S40)-S42</f>
        <v>-16150</v>
      </c>
      <c r="T41" t="s">
        <v>103</v>
      </c>
      <c r="U41">
        <f>SUM(U38,U39,U40)</f>
        <v>1550</v>
      </c>
      <c r="V41" t="s">
        <v>395</v>
      </c>
    </row>
    <row r="42" spans="1:34" x14ac:dyDescent="0.25">
      <c r="Q42" s="36">
        <v>30000</v>
      </c>
      <c r="R42" s="36" t="s">
        <v>357</v>
      </c>
      <c r="S42">
        <v>20000</v>
      </c>
    </row>
    <row r="43" spans="1:34" x14ac:dyDescent="0.25">
      <c r="Q43" s="879">
        <f>SUM(Q39:Q42)+Q44+Q46</f>
        <v>33745</v>
      </c>
      <c r="R43" s="30" t="s">
        <v>103</v>
      </c>
    </row>
    <row r="44" spans="1:34" x14ac:dyDescent="0.25">
      <c r="Q44">
        <v>750</v>
      </c>
      <c r="R44" t="s">
        <v>392</v>
      </c>
    </row>
    <row r="45" spans="1:34" x14ac:dyDescent="0.25">
      <c r="Q45">
        <v>25</v>
      </c>
      <c r="R45" s="827" t="s">
        <v>251</v>
      </c>
      <c r="S45" s="879"/>
    </row>
    <row r="46" spans="1:34" x14ac:dyDescent="0.25">
      <c r="Q46">
        <v>-10000</v>
      </c>
      <c r="R46" s="827">
        <v>44350</v>
      </c>
    </row>
  </sheetData>
  <mergeCells count="25">
    <mergeCell ref="A34:C34"/>
    <mergeCell ref="G34:H34"/>
    <mergeCell ref="I34:K34"/>
    <mergeCell ref="L34:N34"/>
    <mergeCell ref="O34:P34"/>
    <mergeCell ref="Q34:R34"/>
    <mergeCell ref="AE1:AG1"/>
    <mergeCell ref="AH1:AI1"/>
    <mergeCell ref="AJ1:AK1"/>
    <mergeCell ref="AH4:AI4"/>
    <mergeCell ref="AJ4:AK4"/>
    <mergeCell ref="AH9:AI9"/>
    <mergeCell ref="Q1:AD1"/>
    <mergeCell ref="AE34:AG34"/>
    <mergeCell ref="S34:T34"/>
    <mergeCell ref="U34:V34"/>
    <mergeCell ref="W34:X34"/>
    <mergeCell ref="Y34:Z34"/>
    <mergeCell ref="AA34:AB34"/>
    <mergeCell ref="AC34:AD34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2F95FE-C0A3-9E47-8D12-5F4285E67586}">
  <dimension ref="A1:AK38"/>
  <sheetViews>
    <sheetView topLeftCell="Z1" zoomScaleNormal="60" zoomScaleSheetLayoutView="100" workbookViewId="0">
      <selection activeCell="AF11" sqref="AF11"/>
    </sheetView>
  </sheetViews>
  <sheetFormatPr defaultColWidth="8.5703125" defaultRowHeight="15" x14ac:dyDescent="0.25"/>
  <cols>
    <col min="1" max="1" width="11.7109375" bestFit="1" customWidth="1"/>
    <col min="2" max="2" width="7.85546875" bestFit="1" customWidth="1"/>
    <col min="3" max="3" width="9.5703125" bestFit="1" customWidth="1"/>
    <col min="4" max="6" width="9" bestFit="1" customWidth="1"/>
    <col min="7" max="7" width="10.28515625" bestFit="1" customWidth="1"/>
    <col min="8" max="8" width="9" bestFit="1" customWidth="1"/>
    <col min="9" max="9" width="10.28515625" bestFit="1" customWidth="1"/>
    <col min="10" max="11" width="9" bestFit="1" customWidth="1"/>
    <col min="12" max="12" width="9.140625" bestFit="1" customWidth="1"/>
    <col min="13" max="13" width="12.7109375" customWidth="1"/>
    <col min="14" max="14" width="9.42578125" bestFit="1" customWidth="1"/>
    <col min="15" max="15" width="10.7109375" bestFit="1" customWidth="1"/>
    <col min="16" max="16" width="7.42578125" bestFit="1" customWidth="1"/>
    <col min="17" max="17" width="9.42578125" customWidth="1"/>
    <col min="18" max="18" width="10.28515625" bestFit="1" customWidth="1"/>
    <col min="19" max="19" width="9.42578125" bestFit="1" customWidth="1"/>
    <col min="20" max="20" width="10.28515625" bestFit="1" customWidth="1"/>
    <col min="21" max="21" width="8.140625" bestFit="1" customWidth="1"/>
    <col min="22" max="22" width="10.28515625" bestFit="1" customWidth="1"/>
    <col min="23" max="26" width="10.28515625" customWidth="1"/>
    <col min="27" max="27" width="9.7109375" customWidth="1"/>
    <col min="28" max="28" width="10.28515625" bestFit="1" customWidth="1"/>
    <col min="29" max="29" width="9.140625" customWidth="1"/>
    <col min="30" max="30" width="10.28515625" bestFit="1" customWidth="1"/>
    <col min="31" max="31" width="7.42578125" bestFit="1" customWidth="1"/>
    <col min="32" max="32" width="11.42578125" bestFit="1" customWidth="1"/>
    <col min="33" max="33" width="9.7109375" bestFit="1" customWidth="1"/>
    <col min="34" max="34" width="16.140625" style="30" customWidth="1"/>
    <col min="36" max="36" width="11.85546875" customWidth="1"/>
  </cols>
  <sheetData>
    <row r="1" spans="1:37" ht="24" thickBot="1" x14ac:dyDescent="0.3">
      <c r="A1" s="1272" t="s">
        <v>281</v>
      </c>
      <c r="B1" s="1273"/>
      <c r="C1" s="1273"/>
      <c r="D1" s="1273"/>
      <c r="E1" s="1273"/>
      <c r="F1" s="1273"/>
      <c r="G1" s="1272" t="s">
        <v>38</v>
      </c>
      <c r="H1" s="1273"/>
      <c r="I1" s="1272" t="s">
        <v>39</v>
      </c>
      <c r="J1" s="1273"/>
      <c r="K1" s="1274"/>
      <c r="L1" s="1275" t="s">
        <v>40</v>
      </c>
      <c r="M1" s="1273"/>
      <c r="N1" s="1274"/>
      <c r="O1" s="1275" t="s">
        <v>41</v>
      </c>
      <c r="P1" s="1273"/>
      <c r="Q1" s="1272" t="s">
        <v>42</v>
      </c>
      <c r="R1" s="1273"/>
      <c r="S1" s="1273"/>
      <c r="T1" s="1273"/>
      <c r="U1" s="1273"/>
      <c r="V1" s="1273"/>
      <c r="W1" s="1273"/>
      <c r="X1" s="1273"/>
      <c r="Y1" s="1273"/>
      <c r="Z1" s="1273"/>
      <c r="AA1" s="1273"/>
      <c r="AB1" s="1273"/>
      <c r="AC1" s="1273"/>
      <c r="AD1" s="1273"/>
      <c r="AE1" s="1272" t="s">
        <v>43</v>
      </c>
      <c r="AF1" s="1273"/>
      <c r="AG1" s="1274"/>
      <c r="AH1" s="1278" t="s">
        <v>44</v>
      </c>
      <c r="AI1" s="1279"/>
      <c r="AJ1" s="1280" t="s">
        <v>45</v>
      </c>
      <c r="AK1" s="1281"/>
    </row>
    <row r="2" spans="1:37" ht="19.5" thickBot="1" x14ac:dyDescent="0.3">
      <c r="A2" s="699" t="s">
        <v>46</v>
      </c>
      <c r="B2" s="700" t="s">
        <v>47</v>
      </c>
      <c r="C2" s="701" t="s">
        <v>48</v>
      </c>
      <c r="D2" s="702" t="s">
        <v>280</v>
      </c>
      <c r="E2" s="700" t="s">
        <v>282</v>
      </c>
      <c r="F2" s="703" t="s">
        <v>49</v>
      </c>
      <c r="G2" s="700" t="s">
        <v>266</v>
      </c>
      <c r="H2" s="701" t="s">
        <v>267</v>
      </c>
      <c r="I2" s="704" t="s">
        <v>268</v>
      </c>
      <c r="J2" s="705" t="s">
        <v>269</v>
      </c>
      <c r="K2" s="701" t="s">
        <v>270</v>
      </c>
      <c r="L2" s="704" t="s">
        <v>50</v>
      </c>
      <c r="M2" s="705" t="s">
        <v>51</v>
      </c>
      <c r="N2" s="701" t="s">
        <v>52</v>
      </c>
      <c r="O2" s="702" t="s">
        <v>53</v>
      </c>
      <c r="P2" s="701" t="s">
        <v>279</v>
      </c>
      <c r="Q2" s="704" t="s">
        <v>54</v>
      </c>
      <c r="R2" s="703" t="s">
        <v>331</v>
      </c>
      <c r="S2" s="706" t="s">
        <v>55</v>
      </c>
      <c r="T2" s="701" t="s">
        <v>330</v>
      </c>
      <c r="U2" s="702" t="s">
        <v>148</v>
      </c>
      <c r="V2" s="703" t="s">
        <v>329</v>
      </c>
      <c r="W2" s="701" t="s">
        <v>323</v>
      </c>
      <c r="X2" s="701" t="s">
        <v>324</v>
      </c>
      <c r="Y2" s="701" t="s">
        <v>322</v>
      </c>
      <c r="Z2" s="701" t="s">
        <v>332</v>
      </c>
      <c r="AA2" s="700" t="s">
        <v>319</v>
      </c>
      <c r="AB2" s="701" t="s">
        <v>333</v>
      </c>
      <c r="AC2" s="702" t="s">
        <v>321</v>
      </c>
      <c r="AD2" s="701" t="s">
        <v>275</v>
      </c>
      <c r="AE2" s="704" t="s">
        <v>276</v>
      </c>
      <c r="AF2" s="705" t="s">
        <v>277</v>
      </c>
      <c r="AG2" s="707" t="s">
        <v>278</v>
      </c>
      <c r="AH2" s="622" t="s">
        <v>50</v>
      </c>
      <c r="AI2" s="287" t="s">
        <v>52</v>
      </c>
      <c r="AJ2" s="286" t="s">
        <v>50</v>
      </c>
      <c r="AK2" s="288" t="s">
        <v>52</v>
      </c>
    </row>
    <row r="3" spans="1:37" ht="15.75" thickBot="1" x14ac:dyDescent="0.3">
      <c r="A3" s="840">
        <v>2020</v>
      </c>
      <c r="B3" s="689">
        <v>44260</v>
      </c>
      <c r="C3" s="620"/>
      <c r="D3" s="841">
        <v>120</v>
      </c>
      <c r="E3" s="690">
        <v>44263</v>
      </c>
      <c r="F3" s="619">
        <v>50.34</v>
      </c>
      <c r="G3" s="693"/>
      <c r="H3" s="694"/>
      <c r="I3" s="619"/>
      <c r="J3" s="690"/>
      <c r="K3" s="619"/>
      <c r="L3" s="855"/>
      <c r="M3" s="696" t="s">
        <v>320</v>
      </c>
      <c r="N3" s="842">
        <v>50</v>
      </c>
      <c r="O3" s="896">
        <v>1496</v>
      </c>
      <c r="P3" s="620"/>
      <c r="Q3" s="844">
        <v>100</v>
      </c>
      <c r="R3" s="698">
        <v>44265</v>
      </c>
      <c r="S3" s="858">
        <v>100</v>
      </c>
      <c r="T3" s="621"/>
      <c r="U3" s="844">
        <v>50</v>
      </c>
      <c r="V3" s="698">
        <v>44263</v>
      </c>
      <c r="W3" s="862">
        <v>50</v>
      </c>
      <c r="X3" s="698"/>
      <c r="Y3" s="862">
        <v>100</v>
      </c>
      <c r="Z3" s="621"/>
      <c r="AA3" s="844">
        <v>100</v>
      </c>
      <c r="AB3" s="621">
        <v>44264</v>
      </c>
      <c r="AC3" s="866">
        <v>50</v>
      </c>
      <c r="AD3" s="621">
        <v>44263</v>
      </c>
      <c r="AE3" s="695"/>
      <c r="AF3" s="690">
        <v>44263</v>
      </c>
      <c r="AG3" s="842">
        <v>200</v>
      </c>
      <c r="AH3" s="299">
        <v>0</v>
      </c>
      <c r="AI3" s="300">
        <v>410</v>
      </c>
      <c r="AJ3" s="301">
        <f>AH6+AJ6</f>
        <v>6040.6</v>
      </c>
      <c r="AK3" s="302">
        <f>AK6+AI6</f>
        <v>7440.29</v>
      </c>
    </row>
    <row r="4" spans="1:37" ht="19.5" thickBot="1" x14ac:dyDescent="0.3">
      <c r="A4" s="659">
        <v>1750.2</v>
      </c>
      <c r="B4" s="661">
        <v>44262</v>
      </c>
      <c r="C4" s="617"/>
      <c r="D4" s="673">
        <v>121.01</v>
      </c>
      <c r="E4" s="671">
        <v>44263</v>
      </c>
      <c r="F4" s="618">
        <v>20</v>
      </c>
      <c r="G4" s="673"/>
      <c r="H4" s="676"/>
      <c r="I4" s="618"/>
      <c r="J4" s="671"/>
      <c r="K4" s="618"/>
      <c r="L4" s="856"/>
      <c r="M4" s="687" t="s">
        <v>334</v>
      </c>
      <c r="N4" s="664">
        <v>11.95</v>
      </c>
      <c r="O4" s="685">
        <f>AG35-AK6-AI3</f>
        <v>1495.8000000000002</v>
      </c>
      <c r="P4" s="617"/>
      <c r="Q4" s="846">
        <v>50</v>
      </c>
      <c r="R4" s="678">
        <v>44274</v>
      </c>
      <c r="S4" s="859">
        <v>50</v>
      </c>
      <c r="T4" s="615"/>
      <c r="U4" s="846">
        <v>50</v>
      </c>
      <c r="V4" s="678">
        <v>44264</v>
      </c>
      <c r="W4" s="863">
        <v>50</v>
      </c>
      <c r="X4" s="678"/>
      <c r="Y4" s="863">
        <v>200</v>
      </c>
      <c r="Z4" s="615"/>
      <c r="AA4" s="846">
        <v>100</v>
      </c>
      <c r="AB4" s="615">
        <v>44267</v>
      </c>
      <c r="AC4" s="867">
        <v>50</v>
      </c>
      <c r="AD4" s="615">
        <v>44264</v>
      </c>
      <c r="AE4" s="681"/>
      <c r="AF4" s="671">
        <v>44264</v>
      </c>
      <c r="AG4" s="843">
        <v>650</v>
      </c>
      <c r="AH4" s="1282" t="s">
        <v>63</v>
      </c>
      <c r="AI4" s="1245"/>
      <c r="AJ4" s="1246" t="s">
        <v>64</v>
      </c>
      <c r="AK4" s="1237"/>
    </row>
    <row r="5" spans="1:37" ht="15.75" x14ac:dyDescent="0.25">
      <c r="A5" s="659">
        <v>2270.4</v>
      </c>
      <c r="B5" s="661">
        <v>44303</v>
      </c>
      <c r="C5" s="617"/>
      <c r="D5" s="673">
        <v>116.15</v>
      </c>
      <c r="E5" s="671">
        <v>44264</v>
      </c>
      <c r="F5" s="618">
        <v>75</v>
      </c>
      <c r="G5" s="673"/>
      <c r="H5" s="676"/>
      <c r="I5" s="618"/>
      <c r="J5" s="671"/>
      <c r="K5" s="618"/>
      <c r="L5" s="856"/>
      <c r="M5" s="687"/>
      <c r="N5" s="664">
        <v>27.08</v>
      </c>
      <c r="O5" s="684"/>
      <c r="P5" s="617"/>
      <c r="Q5" s="846">
        <v>50</v>
      </c>
      <c r="R5" s="678">
        <v>44274</v>
      </c>
      <c r="S5" s="859">
        <v>50</v>
      </c>
      <c r="T5" s="615"/>
      <c r="U5" s="846">
        <v>50</v>
      </c>
      <c r="V5" s="678"/>
      <c r="W5" s="863">
        <v>100</v>
      </c>
      <c r="X5" s="678"/>
      <c r="Y5" s="863">
        <v>150</v>
      </c>
      <c r="Z5" s="615"/>
      <c r="AA5" s="846">
        <v>50</v>
      </c>
      <c r="AB5" s="615">
        <v>44278</v>
      </c>
      <c r="AC5" s="867">
        <v>50</v>
      </c>
      <c r="AD5" s="615">
        <v>44273</v>
      </c>
      <c r="AE5" s="681"/>
      <c r="AF5" s="671">
        <v>44267</v>
      </c>
      <c r="AG5" s="843">
        <v>650</v>
      </c>
      <c r="AH5" s="119" t="s">
        <v>50</v>
      </c>
      <c r="AI5" s="313" t="s">
        <v>52</v>
      </c>
      <c r="AJ5" s="121" t="s">
        <v>50</v>
      </c>
      <c r="AK5" s="122" t="s">
        <v>52</v>
      </c>
    </row>
    <row r="6" spans="1:37" ht="15.75" thickBot="1" x14ac:dyDescent="0.3">
      <c r="A6" s="659"/>
      <c r="B6" s="661"/>
      <c r="C6" s="617"/>
      <c r="D6" s="673">
        <v>125.02</v>
      </c>
      <c r="E6" s="671">
        <v>44272</v>
      </c>
      <c r="F6" s="618">
        <v>50</v>
      </c>
      <c r="G6" s="673"/>
      <c r="H6" s="676"/>
      <c r="I6" s="618"/>
      <c r="J6" s="671"/>
      <c r="K6" s="618"/>
      <c r="L6" s="856"/>
      <c r="M6" s="687"/>
      <c r="N6" s="664">
        <v>12.98</v>
      </c>
      <c r="O6" s="684"/>
      <c r="P6" s="617"/>
      <c r="Q6" s="846">
        <v>150</v>
      </c>
      <c r="R6" s="678">
        <v>44281</v>
      </c>
      <c r="S6" s="859">
        <v>100</v>
      </c>
      <c r="T6" s="615"/>
      <c r="U6" s="846">
        <v>100</v>
      </c>
      <c r="V6" s="678"/>
      <c r="W6" s="863">
        <v>100</v>
      </c>
      <c r="X6" s="678"/>
      <c r="Y6" s="863"/>
      <c r="Z6" s="615"/>
      <c r="AA6" s="846">
        <v>50</v>
      </c>
      <c r="AB6" s="615">
        <v>44282</v>
      </c>
      <c r="AC6" s="867">
        <v>50</v>
      </c>
      <c r="AD6" s="615">
        <v>44278</v>
      </c>
      <c r="AE6" s="681"/>
      <c r="AF6" s="671">
        <v>44267</v>
      </c>
      <c r="AG6" s="843">
        <v>650</v>
      </c>
      <c r="AH6" s="612">
        <f>A35+L35</f>
        <v>6040.6</v>
      </c>
      <c r="AI6" s="317">
        <f>D35+H35+K35+N35</f>
        <v>1246.0899999999999</v>
      </c>
      <c r="AJ6" s="128">
        <f>L35+C35</f>
        <v>0</v>
      </c>
      <c r="AK6" s="129">
        <f>F35+G35+I35+M35+Q35+S35+U35+W35+Y35+AA35+AC35</f>
        <v>6194.2</v>
      </c>
    </row>
    <row r="7" spans="1:37" ht="19.5" thickBot="1" x14ac:dyDescent="0.3">
      <c r="A7" s="659"/>
      <c r="B7" s="661"/>
      <c r="C7" s="617"/>
      <c r="D7" s="673">
        <v>125.02</v>
      </c>
      <c r="E7" s="671">
        <v>44280</v>
      </c>
      <c r="F7" s="618">
        <v>80</v>
      </c>
      <c r="G7" s="673"/>
      <c r="H7" s="676"/>
      <c r="I7" s="618"/>
      <c r="J7" s="671"/>
      <c r="K7" s="618"/>
      <c r="L7" s="856"/>
      <c r="M7" s="687"/>
      <c r="N7" s="664">
        <v>52.34</v>
      </c>
      <c r="O7" s="684"/>
      <c r="P7" s="617"/>
      <c r="Q7" s="846">
        <v>50</v>
      </c>
      <c r="R7" s="678">
        <v>44286</v>
      </c>
      <c r="S7" s="859">
        <v>100</v>
      </c>
      <c r="T7" s="615"/>
      <c r="U7" s="846">
        <v>50</v>
      </c>
      <c r="V7" s="678">
        <v>44274</v>
      </c>
      <c r="W7" s="863">
        <v>100</v>
      </c>
      <c r="X7" s="678">
        <v>44282</v>
      </c>
      <c r="Y7" s="863">
        <v>100</v>
      </c>
      <c r="Z7" s="615">
        <v>44277</v>
      </c>
      <c r="AA7" s="846">
        <v>100</v>
      </c>
      <c r="AB7" s="615">
        <v>44282</v>
      </c>
      <c r="AC7" s="867">
        <v>50</v>
      </c>
      <c r="AD7" s="615">
        <v>44284</v>
      </c>
      <c r="AE7" s="681"/>
      <c r="AF7" s="671">
        <v>44274</v>
      </c>
      <c r="AG7" s="843">
        <v>650</v>
      </c>
      <c r="AH7" s="613" t="s">
        <v>66</v>
      </c>
      <c r="AI7" s="321" t="s">
        <v>67</v>
      </c>
    </row>
    <row r="8" spans="1:37" x14ac:dyDescent="0.25">
      <c r="A8" s="659"/>
      <c r="B8" s="661"/>
      <c r="C8" s="617"/>
      <c r="D8" s="673">
        <v>120.01</v>
      </c>
      <c r="E8" s="671">
        <v>44294</v>
      </c>
      <c r="F8" s="618">
        <v>100</v>
      </c>
      <c r="G8" s="673"/>
      <c r="H8" s="676"/>
      <c r="I8" s="618"/>
      <c r="J8" s="671"/>
      <c r="K8" s="618"/>
      <c r="L8" s="856"/>
      <c r="M8" s="687"/>
      <c r="N8" s="843">
        <v>27</v>
      </c>
      <c r="O8" s="684"/>
      <c r="P8" s="617"/>
      <c r="Q8" s="846">
        <v>50</v>
      </c>
      <c r="R8" s="678" t="s">
        <v>327</v>
      </c>
      <c r="S8" s="860"/>
      <c r="T8" s="615"/>
      <c r="U8" s="846">
        <v>100</v>
      </c>
      <c r="V8" s="678">
        <v>44281</v>
      </c>
      <c r="W8" s="863">
        <v>100</v>
      </c>
      <c r="X8" s="678">
        <v>44286</v>
      </c>
      <c r="Y8" s="863">
        <v>150</v>
      </c>
      <c r="Z8" s="615">
        <v>44277</v>
      </c>
      <c r="AA8" s="846">
        <v>50</v>
      </c>
      <c r="AB8" s="615">
        <v>44285</v>
      </c>
      <c r="AC8" s="867">
        <v>50</v>
      </c>
      <c r="AD8" s="615">
        <v>44293</v>
      </c>
      <c r="AE8" s="681"/>
      <c r="AF8" s="671">
        <v>44277</v>
      </c>
      <c r="AG8" s="843">
        <v>650</v>
      </c>
      <c r="AH8" s="326">
        <v>0</v>
      </c>
      <c r="AI8" s="327">
        <f>E35</f>
        <v>0</v>
      </c>
    </row>
    <row r="9" spans="1:37" ht="15.75" thickBot="1" x14ac:dyDescent="0.3">
      <c r="A9" s="659"/>
      <c r="B9" s="661"/>
      <c r="C9" s="617"/>
      <c r="D9" s="673">
        <v>140.01</v>
      </c>
      <c r="E9" s="671">
        <v>44302</v>
      </c>
      <c r="F9" s="618">
        <v>30.05</v>
      </c>
      <c r="G9" s="673"/>
      <c r="H9" s="676"/>
      <c r="I9" s="618"/>
      <c r="J9" s="671"/>
      <c r="K9" s="618"/>
      <c r="L9" s="856"/>
      <c r="M9" s="687"/>
      <c r="N9" s="664">
        <v>30.97</v>
      </c>
      <c r="O9" s="684"/>
      <c r="P9" s="617"/>
      <c r="Q9" s="846">
        <v>100</v>
      </c>
      <c r="R9" s="678">
        <v>44292</v>
      </c>
      <c r="S9" s="860"/>
      <c r="T9" s="615"/>
      <c r="U9" s="846">
        <v>50</v>
      </c>
      <c r="V9" s="678">
        <v>44285</v>
      </c>
      <c r="W9" s="863">
        <v>100</v>
      </c>
      <c r="X9" s="678">
        <v>44288</v>
      </c>
      <c r="Y9" s="863">
        <v>150</v>
      </c>
      <c r="Z9" s="615">
        <v>44281</v>
      </c>
      <c r="AA9" s="846">
        <v>20</v>
      </c>
      <c r="AB9" s="615"/>
      <c r="AC9" s="867">
        <v>50</v>
      </c>
      <c r="AD9" s="615">
        <v>44298</v>
      </c>
      <c r="AE9" s="681"/>
      <c r="AF9" s="671">
        <v>44277</v>
      </c>
      <c r="AG9" s="843">
        <v>650</v>
      </c>
      <c r="AH9" s="1244">
        <f>AH8-AI8</f>
        <v>0</v>
      </c>
      <c r="AI9" s="1222"/>
    </row>
    <row r="10" spans="1:37" x14ac:dyDescent="0.25">
      <c r="A10" s="659"/>
      <c r="B10" s="661"/>
      <c r="C10" s="617"/>
      <c r="D10" s="673"/>
      <c r="E10" s="671"/>
      <c r="F10" s="618">
        <v>99.99</v>
      </c>
      <c r="G10" s="673"/>
      <c r="H10" s="676"/>
      <c r="I10" s="618"/>
      <c r="J10" s="671"/>
      <c r="K10" s="618"/>
      <c r="L10" s="856"/>
      <c r="M10" s="687"/>
      <c r="N10" s="664">
        <v>96.5</v>
      </c>
      <c r="O10" s="684"/>
      <c r="P10" s="617"/>
      <c r="Q10" s="846">
        <v>50</v>
      </c>
      <c r="R10" s="678">
        <v>44299</v>
      </c>
      <c r="S10" s="860"/>
      <c r="T10" s="615"/>
      <c r="U10" s="846">
        <v>30</v>
      </c>
      <c r="V10" s="678" t="s">
        <v>327</v>
      </c>
      <c r="W10" s="863">
        <v>50</v>
      </c>
      <c r="X10" s="678">
        <v>44290</v>
      </c>
      <c r="Y10" s="863">
        <v>50</v>
      </c>
      <c r="Z10" s="615">
        <v>44282</v>
      </c>
      <c r="AA10" s="663"/>
      <c r="AB10" s="615"/>
      <c r="AC10" s="868"/>
      <c r="AD10" s="615"/>
      <c r="AE10" s="681"/>
      <c r="AF10" s="671">
        <v>44282</v>
      </c>
      <c r="AG10" s="843">
        <v>650</v>
      </c>
      <c r="AH10" s="610"/>
    </row>
    <row r="11" spans="1:37" x14ac:dyDescent="0.25">
      <c r="A11" s="659"/>
      <c r="B11" s="661"/>
      <c r="C11" s="617"/>
      <c r="D11" s="673">
        <v>120</v>
      </c>
      <c r="E11" s="671">
        <v>44291</v>
      </c>
      <c r="F11" s="618"/>
      <c r="G11" s="673"/>
      <c r="H11" s="676"/>
      <c r="I11" s="618"/>
      <c r="J11" s="671"/>
      <c r="K11" s="618"/>
      <c r="L11" s="856"/>
      <c r="M11" s="687"/>
      <c r="N11" s="843"/>
      <c r="O11" s="684"/>
      <c r="P11" s="617"/>
      <c r="Q11" s="846"/>
      <c r="R11" s="678"/>
      <c r="S11" s="860"/>
      <c r="T11" s="615"/>
      <c r="U11" s="846">
        <v>100</v>
      </c>
      <c r="V11" s="678">
        <v>44289</v>
      </c>
      <c r="W11" s="863">
        <v>100</v>
      </c>
      <c r="X11" s="678">
        <v>44292</v>
      </c>
      <c r="Y11" s="863">
        <v>40</v>
      </c>
      <c r="Z11" s="615">
        <v>44284</v>
      </c>
      <c r="AA11" s="663"/>
      <c r="AB11" s="615"/>
      <c r="AC11" s="868"/>
      <c r="AD11" s="615"/>
      <c r="AE11" s="681"/>
      <c r="AF11" s="671">
        <v>44282</v>
      </c>
      <c r="AG11" s="843">
        <v>650</v>
      </c>
      <c r="AH11" s="610"/>
    </row>
    <row r="12" spans="1:37" x14ac:dyDescent="0.25">
      <c r="A12" s="659"/>
      <c r="B12" s="661"/>
      <c r="C12" s="617"/>
      <c r="D12" s="673"/>
      <c r="E12" s="671"/>
      <c r="F12" s="618"/>
      <c r="G12" s="673"/>
      <c r="H12" s="676"/>
      <c r="I12" s="618"/>
      <c r="J12" s="671"/>
      <c r="K12" s="618"/>
      <c r="L12" s="856"/>
      <c r="M12" s="687"/>
      <c r="N12" s="664"/>
      <c r="O12" s="684"/>
      <c r="P12" s="617"/>
      <c r="Q12" s="846"/>
      <c r="R12" s="678"/>
      <c r="S12" s="860"/>
      <c r="T12" s="615"/>
      <c r="U12" s="846">
        <v>120</v>
      </c>
      <c r="V12" s="678">
        <v>44295</v>
      </c>
      <c r="W12" s="863">
        <v>50</v>
      </c>
      <c r="X12" s="678">
        <v>44295</v>
      </c>
      <c r="Y12" s="863"/>
      <c r="Z12" s="615"/>
      <c r="AA12" s="663"/>
      <c r="AB12" s="615"/>
      <c r="AC12" s="868"/>
      <c r="AD12" s="615"/>
      <c r="AE12" s="681"/>
      <c r="AF12" s="671">
        <v>44288</v>
      </c>
      <c r="AG12" s="843">
        <v>1000</v>
      </c>
      <c r="AH12" s="610"/>
    </row>
    <row r="13" spans="1:37" x14ac:dyDescent="0.25">
      <c r="A13" s="659"/>
      <c r="B13" s="661"/>
      <c r="C13" s="617"/>
      <c r="D13" s="673"/>
      <c r="E13" s="671"/>
      <c r="F13" s="618"/>
      <c r="G13" s="673"/>
      <c r="H13" s="676"/>
      <c r="I13" s="618"/>
      <c r="J13" s="671"/>
      <c r="K13" s="618"/>
      <c r="L13" s="856"/>
      <c r="M13" s="687"/>
      <c r="N13" s="664"/>
      <c r="O13" s="684"/>
      <c r="P13" s="617"/>
      <c r="Q13" s="846"/>
      <c r="R13" s="678"/>
      <c r="S13" s="860"/>
      <c r="T13" s="615"/>
      <c r="U13" s="846"/>
      <c r="V13" s="678"/>
      <c r="W13" s="863">
        <v>50</v>
      </c>
      <c r="X13" s="678">
        <v>44296</v>
      </c>
      <c r="Y13" s="863">
        <v>250</v>
      </c>
      <c r="Z13" s="615">
        <v>44286</v>
      </c>
      <c r="AA13" s="663"/>
      <c r="AB13" s="615"/>
      <c r="AC13" s="868"/>
      <c r="AD13" s="615"/>
      <c r="AE13" s="681"/>
      <c r="AF13" s="671">
        <v>44295</v>
      </c>
      <c r="AG13" s="843">
        <v>1000</v>
      </c>
      <c r="AH13" s="610"/>
    </row>
    <row r="14" spans="1:37" x14ac:dyDescent="0.25">
      <c r="A14" s="659"/>
      <c r="B14" s="661"/>
      <c r="C14" s="617"/>
      <c r="D14" s="673"/>
      <c r="E14" s="671"/>
      <c r="F14" s="618"/>
      <c r="G14" s="673"/>
      <c r="H14" s="676"/>
      <c r="I14" s="618"/>
      <c r="J14" s="671"/>
      <c r="K14" s="618"/>
      <c r="L14" s="856"/>
      <c r="M14" s="687"/>
      <c r="N14" s="664"/>
      <c r="O14" s="684"/>
      <c r="P14" s="617"/>
      <c r="Q14" s="846"/>
      <c r="R14" s="678"/>
      <c r="S14" s="860"/>
      <c r="T14" s="615"/>
      <c r="U14" s="846"/>
      <c r="V14" s="678"/>
      <c r="W14" s="863">
        <v>50</v>
      </c>
      <c r="X14" s="678">
        <v>44298</v>
      </c>
      <c r="Y14" s="863">
        <v>100</v>
      </c>
      <c r="Z14" s="615">
        <v>44293</v>
      </c>
      <c r="AA14" s="663"/>
      <c r="AB14" s="615"/>
      <c r="AC14" s="868"/>
      <c r="AD14" s="615"/>
      <c r="AE14" s="681"/>
      <c r="AF14" s="671">
        <v>44302</v>
      </c>
      <c r="AG14" s="664">
        <v>700</v>
      </c>
      <c r="AH14" s="610"/>
    </row>
    <row r="15" spans="1:37" x14ac:dyDescent="0.25">
      <c r="A15" s="659"/>
      <c r="B15" s="661"/>
      <c r="C15" s="617"/>
      <c r="D15" s="673"/>
      <c r="E15" s="671"/>
      <c r="F15" s="618"/>
      <c r="G15" s="673"/>
      <c r="H15" s="676"/>
      <c r="I15" s="618"/>
      <c r="J15" s="671"/>
      <c r="K15" s="618"/>
      <c r="L15" s="856"/>
      <c r="M15" s="687"/>
      <c r="N15" s="664"/>
      <c r="O15" s="684"/>
      <c r="P15" s="617"/>
      <c r="Q15" s="846"/>
      <c r="R15" s="678"/>
      <c r="S15" s="860"/>
      <c r="T15" s="615"/>
      <c r="U15" s="846"/>
      <c r="V15" s="678"/>
      <c r="W15" s="864"/>
      <c r="X15" s="678"/>
      <c r="Y15" s="863">
        <v>20</v>
      </c>
      <c r="Z15" s="615">
        <v>44296</v>
      </c>
      <c r="AA15" s="663"/>
      <c r="AB15" s="615"/>
      <c r="AC15" s="868"/>
      <c r="AD15" s="615"/>
      <c r="AE15" s="681"/>
      <c r="AF15" s="671"/>
      <c r="AG15" s="664"/>
      <c r="AH15" s="610"/>
    </row>
    <row r="16" spans="1:37" x14ac:dyDescent="0.25">
      <c r="A16" s="659"/>
      <c r="B16" s="661"/>
      <c r="C16" s="617"/>
      <c r="D16" s="673"/>
      <c r="E16" s="671"/>
      <c r="F16" s="618"/>
      <c r="G16" s="673"/>
      <c r="H16" s="676"/>
      <c r="I16" s="618"/>
      <c r="J16" s="671"/>
      <c r="K16" s="618"/>
      <c r="L16" s="856"/>
      <c r="M16" s="687"/>
      <c r="N16" s="664"/>
      <c r="O16" s="684"/>
      <c r="P16" s="617"/>
      <c r="Q16" s="846"/>
      <c r="R16" s="678"/>
      <c r="S16" s="860"/>
      <c r="T16" s="615"/>
      <c r="U16" s="846"/>
      <c r="V16" s="678"/>
      <c r="W16" s="864"/>
      <c r="X16" s="678"/>
      <c r="Y16" s="863">
        <v>150</v>
      </c>
      <c r="Z16" s="615">
        <v>44299</v>
      </c>
      <c r="AA16" s="663"/>
      <c r="AB16" s="615"/>
      <c r="AC16" s="868"/>
      <c r="AD16" s="615"/>
      <c r="AE16" s="681"/>
      <c r="AF16" s="671"/>
      <c r="AG16" s="664"/>
      <c r="AH16" s="610"/>
    </row>
    <row r="17" spans="1:34" x14ac:dyDescent="0.25">
      <c r="A17" s="659"/>
      <c r="B17" s="661"/>
      <c r="C17" s="617"/>
      <c r="D17" s="673"/>
      <c r="E17" s="671"/>
      <c r="F17" s="618"/>
      <c r="G17" s="673"/>
      <c r="H17" s="676"/>
      <c r="I17" s="618"/>
      <c r="J17" s="671"/>
      <c r="K17" s="618"/>
      <c r="L17" s="856"/>
      <c r="M17" s="687"/>
      <c r="N17" s="664"/>
      <c r="O17" s="684"/>
      <c r="P17" s="617"/>
      <c r="Q17" s="846"/>
      <c r="R17" s="678"/>
      <c r="S17" s="860"/>
      <c r="T17" s="615"/>
      <c r="U17" s="846"/>
      <c r="V17" s="678"/>
      <c r="W17" s="864"/>
      <c r="X17" s="678"/>
      <c r="Y17" s="863">
        <v>500</v>
      </c>
      <c r="Z17" s="615"/>
      <c r="AA17" s="663"/>
      <c r="AB17" s="615"/>
      <c r="AC17" s="868"/>
      <c r="AD17" s="615"/>
      <c r="AE17" s="681"/>
      <c r="AF17" s="671"/>
      <c r="AG17" s="664"/>
      <c r="AH17" s="610"/>
    </row>
    <row r="18" spans="1:34" x14ac:dyDescent="0.25">
      <c r="A18" s="659"/>
      <c r="B18" s="661"/>
      <c r="C18" s="617"/>
      <c r="D18" s="673"/>
      <c r="E18" s="671"/>
      <c r="F18" s="618"/>
      <c r="G18" s="673"/>
      <c r="H18" s="676"/>
      <c r="I18" s="618"/>
      <c r="J18" s="671"/>
      <c r="K18" s="618"/>
      <c r="L18" s="856"/>
      <c r="M18" s="687"/>
      <c r="N18" s="664"/>
      <c r="O18" s="684"/>
      <c r="P18" s="617"/>
      <c r="Q18" s="846"/>
      <c r="R18" s="678"/>
      <c r="S18" s="860"/>
      <c r="T18" s="615"/>
      <c r="U18" s="846"/>
      <c r="V18" s="678"/>
      <c r="W18" s="864"/>
      <c r="X18" s="678"/>
      <c r="Y18" s="864"/>
      <c r="Z18" s="615"/>
      <c r="AA18" s="663"/>
      <c r="AB18" s="615"/>
      <c r="AC18" s="868"/>
      <c r="AD18" s="615"/>
      <c r="AE18" s="681"/>
      <c r="AF18" s="671"/>
      <c r="AG18" s="664"/>
      <c r="AH18" s="610"/>
    </row>
    <row r="19" spans="1:34" x14ac:dyDescent="0.25">
      <c r="A19" s="659"/>
      <c r="B19" s="661"/>
      <c r="C19" s="617"/>
      <c r="D19" s="673"/>
      <c r="E19" s="671"/>
      <c r="F19" s="618"/>
      <c r="G19" s="673"/>
      <c r="H19" s="676"/>
      <c r="I19" s="618"/>
      <c r="J19" s="671"/>
      <c r="K19" s="618"/>
      <c r="L19" s="856"/>
      <c r="M19" s="687"/>
      <c r="N19" s="664"/>
      <c r="O19" s="684"/>
      <c r="P19" s="617"/>
      <c r="Q19" s="846"/>
      <c r="R19" s="678"/>
      <c r="S19" s="860"/>
      <c r="T19" s="615"/>
      <c r="U19" s="846"/>
      <c r="V19" s="678"/>
      <c r="W19" s="864"/>
      <c r="X19" s="678"/>
      <c r="Y19" s="864"/>
      <c r="Z19" s="615"/>
      <c r="AA19" s="663"/>
      <c r="AB19" s="615"/>
      <c r="AC19" s="868"/>
      <c r="AD19" s="615"/>
      <c r="AE19" s="681"/>
      <c r="AF19" s="671"/>
      <c r="AG19" s="664"/>
      <c r="AH19" s="614"/>
    </row>
    <row r="20" spans="1:34" x14ac:dyDescent="0.25">
      <c r="A20" s="659"/>
      <c r="B20" s="661"/>
      <c r="C20" s="617"/>
      <c r="D20" s="673"/>
      <c r="E20" s="671"/>
      <c r="F20" s="618"/>
      <c r="G20" s="673"/>
      <c r="H20" s="676"/>
      <c r="I20" s="618"/>
      <c r="J20" s="671"/>
      <c r="K20" s="618"/>
      <c r="L20" s="856"/>
      <c r="M20" s="687"/>
      <c r="N20" s="664"/>
      <c r="O20" s="684"/>
      <c r="P20" s="617"/>
      <c r="Q20" s="846"/>
      <c r="R20" s="678"/>
      <c r="S20" s="860"/>
      <c r="T20" s="615"/>
      <c r="U20" s="846"/>
      <c r="V20" s="678"/>
      <c r="W20" s="864"/>
      <c r="X20" s="678"/>
      <c r="Y20" s="864"/>
      <c r="Z20" s="615"/>
      <c r="AA20" s="663"/>
      <c r="AB20" s="615"/>
      <c r="AC20" s="868"/>
      <c r="AD20" s="615"/>
      <c r="AE20" s="681"/>
      <c r="AF20" s="671"/>
      <c r="AG20" s="664"/>
      <c r="AH20" s="614"/>
    </row>
    <row r="21" spans="1:34" x14ac:dyDescent="0.25">
      <c r="A21" s="659"/>
      <c r="B21" s="661"/>
      <c r="C21" s="617"/>
      <c r="D21" s="673"/>
      <c r="E21" s="671"/>
      <c r="F21" s="618"/>
      <c r="G21" s="673"/>
      <c r="H21" s="676"/>
      <c r="I21" s="618"/>
      <c r="J21" s="671"/>
      <c r="K21" s="618"/>
      <c r="L21" s="856"/>
      <c r="M21" s="687"/>
      <c r="N21" s="664"/>
      <c r="O21" s="684"/>
      <c r="P21" s="617"/>
      <c r="Q21" s="846"/>
      <c r="R21" s="678"/>
      <c r="S21" s="860"/>
      <c r="T21" s="615"/>
      <c r="U21" s="846"/>
      <c r="V21" s="678"/>
      <c r="W21" s="864"/>
      <c r="X21" s="678"/>
      <c r="Y21" s="864"/>
      <c r="Z21" s="615"/>
      <c r="AA21" s="663"/>
      <c r="AB21" s="615"/>
      <c r="AC21" s="868"/>
      <c r="AD21" s="615"/>
      <c r="AE21" s="681"/>
      <c r="AF21" s="671"/>
      <c r="AG21" s="664"/>
      <c r="AH21" s="614"/>
    </row>
    <row r="22" spans="1:34" x14ac:dyDescent="0.25">
      <c r="A22" s="659"/>
      <c r="B22" s="661"/>
      <c r="C22" s="617"/>
      <c r="D22" s="673"/>
      <c r="E22" s="671"/>
      <c r="F22" s="618"/>
      <c r="G22" s="673"/>
      <c r="H22" s="676"/>
      <c r="I22" s="618"/>
      <c r="J22" s="671"/>
      <c r="K22" s="618"/>
      <c r="L22" s="856"/>
      <c r="M22" s="687"/>
      <c r="N22" s="664"/>
      <c r="O22" s="684"/>
      <c r="P22" s="617"/>
      <c r="Q22" s="846"/>
      <c r="R22" s="678"/>
      <c r="S22" s="860"/>
      <c r="T22" s="615"/>
      <c r="U22" s="846"/>
      <c r="V22" s="678"/>
      <c r="W22" s="864"/>
      <c r="X22" s="678"/>
      <c r="Y22" s="864"/>
      <c r="Z22" s="615"/>
      <c r="AA22" s="663"/>
      <c r="AB22" s="615"/>
      <c r="AC22" s="868"/>
      <c r="AD22" s="615"/>
      <c r="AE22" s="681"/>
      <c r="AF22" s="671"/>
      <c r="AG22" s="664"/>
      <c r="AH22" s="614"/>
    </row>
    <row r="23" spans="1:34" x14ac:dyDescent="0.25">
      <c r="A23" s="659"/>
      <c r="B23" s="661"/>
      <c r="C23" s="617"/>
      <c r="D23" s="673"/>
      <c r="E23" s="671"/>
      <c r="F23" s="618"/>
      <c r="G23" s="673"/>
      <c r="H23" s="676"/>
      <c r="I23" s="618"/>
      <c r="J23" s="671"/>
      <c r="K23" s="618"/>
      <c r="L23" s="856"/>
      <c r="M23" s="687"/>
      <c r="N23" s="664"/>
      <c r="O23" s="684"/>
      <c r="P23" s="617"/>
      <c r="Q23" s="846"/>
      <c r="R23" s="678"/>
      <c r="S23" s="860"/>
      <c r="T23" s="615"/>
      <c r="U23" s="846"/>
      <c r="V23" s="678"/>
      <c r="W23" s="864"/>
      <c r="X23" s="678"/>
      <c r="Y23" s="864"/>
      <c r="Z23" s="615"/>
      <c r="AA23" s="663"/>
      <c r="AB23" s="615"/>
      <c r="AC23" s="868"/>
      <c r="AD23" s="615"/>
      <c r="AE23" s="681"/>
      <c r="AF23" s="671"/>
      <c r="AG23" s="664"/>
      <c r="AH23" s="614"/>
    </row>
    <row r="24" spans="1:34" x14ac:dyDescent="0.25">
      <c r="A24" s="659"/>
      <c r="B24" s="661"/>
      <c r="C24" s="617"/>
      <c r="D24" s="673"/>
      <c r="E24" s="671"/>
      <c r="F24" s="618"/>
      <c r="G24" s="673"/>
      <c r="H24" s="676"/>
      <c r="I24" s="618"/>
      <c r="J24" s="671"/>
      <c r="K24" s="618"/>
      <c r="L24" s="856"/>
      <c r="M24" s="687"/>
      <c r="N24" s="664"/>
      <c r="O24" s="684"/>
      <c r="P24" s="617"/>
      <c r="Q24" s="846"/>
      <c r="R24" s="678"/>
      <c r="S24" s="860"/>
      <c r="T24" s="615"/>
      <c r="U24" s="846"/>
      <c r="V24" s="678"/>
      <c r="W24" s="864"/>
      <c r="X24" s="678"/>
      <c r="Y24" s="864"/>
      <c r="Z24" s="615"/>
      <c r="AA24" s="663"/>
      <c r="AB24" s="615"/>
      <c r="AC24" s="868"/>
      <c r="AD24" s="615"/>
      <c r="AE24" s="681"/>
      <c r="AF24" s="671"/>
      <c r="AG24" s="664"/>
      <c r="AH24" s="614"/>
    </row>
    <row r="25" spans="1:34" x14ac:dyDescent="0.25">
      <c r="A25" s="659"/>
      <c r="B25" s="661"/>
      <c r="C25" s="617"/>
      <c r="D25" s="673"/>
      <c r="E25" s="671"/>
      <c r="F25" s="618"/>
      <c r="G25" s="673"/>
      <c r="H25" s="676"/>
      <c r="I25" s="618"/>
      <c r="J25" s="671"/>
      <c r="K25" s="618"/>
      <c r="L25" s="856"/>
      <c r="M25" s="687"/>
      <c r="N25" s="664"/>
      <c r="O25" s="684"/>
      <c r="P25" s="617"/>
      <c r="Q25" s="846"/>
      <c r="R25" s="678"/>
      <c r="S25" s="860"/>
      <c r="T25" s="615"/>
      <c r="U25" s="846"/>
      <c r="V25" s="678"/>
      <c r="W25" s="864"/>
      <c r="X25" s="678"/>
      <c r="Y25" s="864"/>
      <c r="Z25" s="615"/>
      <c r="AA25" s="663"/>
      <c r="AB25" s="615"/>
      <c r="AC25" s="868"/>
      <c r="AD25" s="615"/>
      <c r="AE25" s="681"/>
      <c r="AF25" s="671"/>
      <c r="AG25" s="664"/>
      <c r="AH25" s="614"/>
    </row>
    <row r="26" spans="1:34" x14ac:dyDescent="0.25">
      <c r="A26" s="659"/>
      <c r="B26" s="661"/>
      <c r="C26" s="617"/>
      <c r="D26" s="673"/>
      <c r="E26" s="671"/>
      <c r="F26" s="618"/>
      <c r="G26" s="673"/>
      <c r="H26" s="676"/>
      <c r="I26" s="618"/>
      <c r="J26" s="671"/>
      <c r="K26" s="618"/>
      <c r="L26" s="856"/>
      <c r="M26" s="687"/>
      <c r="N26" s="664"/>
      <c r="O26" s="684"/>
      <c r="P26" s="617"/>
      <c r="Q26" s="846"/>
      <c r="R26" s="678"/>
      <c r="S26" s="860"/>
      <c r="T26" s="615"/>
      <c r="U26" s="846"/>
      <c r="V26" s="678"/>
      <c r="W26" s="864"/>
      <c r="X26" s="678"/>
      <c r="Y26" s="864"/>
      <c r="Z26" s="615"/>
      <c r="AA26" s="663"/>
      <c r="AB26" s="615"/>
      <c r="AC26" s="868"/>
      <c r="AD26" s="615"/>
      <c r="AE26" s="681"/>
      <c r="AF26" s="671"/>
      <c r="AG26" s="664"/>
      <c r="AH26" s="614"/>
    </row>
    <row r="27" spans="1:34" x14ac:dyDescent="0.25">
      <c r="A27" s="659"/>
      <c r="B27" s="661"/>
      <c r="C27" s="617"/>
      <c r="D27" s="673"/>
      <c r="E27" s="671"/>
      <c r="F27" s="618"/>
      <c r="G27" s="673"/>
      <c r="H27" s="676"/>
      <c r="I27" s="618"/>
      <c r="J27" s="671"/>
      <c r="K27" s="618"/>
      <c r="L27" s="856"/>
      <c r="M27" s="687"/>
      <c r="N27" s="664">
        <v>64</v>
      </c>
      <c r="O27" s="684"/>
      <c r="P27" s="617"/>
      <c r="Q27" s="846"/>
      <c r="R27" s="678"/>
      <c r="S27" s="860"/>
      <c r="T27" s="615"/>
      <c r="U27" s="846"/>
      <c r="V27" s="678"/>
      <c r="W27" s="864"/>
      <c r="X27" s="678"/>
      <c r="Y27" s="864"/>
      <c r="Z27" s="615"/>
      <c r="AA27" s="663"/>
      <c r="AB27" s="615"/>
      <c r="AC27" s="868"/>
      <c r="AD27" s="615"/>
      <c r="AE27" s="681"/>
      <c r="AF27" s="671"/>
      <c r="AG27" s="664"/>
      <c r="AH27" s="614"/>
    </row>
    <row r="28" spans="1:34" x14ac:dyDescent="0.25">
      <c r="A28" s="659"/>
      <c r="B28" s="661"/>
      <c r="C28" s="617"/>
      <c r="D28" s="673"/>
      <c r="E28" s="671"/>
      <c r="F28" s="618"/>
      <c r="G28" s="673"/>
      <c r="H28" s="676"/>
      <c r="I28" s="618"/>
      <c r="J28" s="671"/>
      <c r="K28" s="618"/>
      <c r="L28" s="856"/>
      <c r="M28" s="687"/>
      <c r="N28" s="664">
        <v>14.99</v>
      </c>
      <c r="O28" s="684"/>
      <c r="P28" s="617"/>
      <c r="Q28" s="846"/>
      <c r="R28" s="678"/>
      <c r="S28" s="860"/>
      <c r="T28" s="615"/>
      <c r="U28" s="846"/>
      <c r="V28" s="678"/>
      <c r="W28" s="864"/>
      <c r="X28" s="678"/>
      <c r="Y28" s="864"/>
      <c r="Z28" s="615"/>
      <c r="AA28" s="663"/>
      <c r="AB28" s="615"/>
      <c r="AC28" s="868"/>
      <c r="AD28" s="615"/>
      <c r="AE28" s="681"/>
      <c r="AF28" s="671"/>
      <c r="AG28" s="664"/>
      <c r="AH28" s="614"/>
    </row>
    <row r="29" spans="1:34" x14ac:dyDescent="0.25">
      <c r="A29" s="659"/>
      <c r="B29" s="661"/>
      <c r="C29" s="617"/>
      <c r="D29" s="673"/>
      <c r="E29" s="671"/>
      <c r="F29" s="618"/>
      <c r="G29" s="673"/>
      <c r="H29" s="676"/>
      <c r="I29" s="618"/>
      <c r="J29" s="671"/>
      <c r="K29" s="618"/>
      <c r="L29" s="856"/>
      <c r="M29" s="687"/>
      <c r="N29" s="664">
        <v>8.7100000000000009</v>
      </c>
      <c r="O29" s="684"/>
      <c r="P29" s="617"/>
      <c r="Q29" s="846"/>
      <c r="R29" s="678"/>
      <c r="S29" s="860"/>
      <c r="T29" s="615"/>
      <c r="U29" s="846"/>
      <c r="V29" s="678"/>
      <c r="W29" s="864"/>
      <c r="X29" s="678"/>
      <c r="Y29" s="864"/>
      <c r="Z29" s="615"/>
      <c r="AA29" s="663"/>
      <c r="AB29" s="615"/>
      <c r="AC29" s="868"/>
      <c r="AD29" s="615"/>
      <c r="AE29" s="681"/>
      <c r="AF29" s="671"/>
      <c r="AG29" s="664"/>
      <c r="AH29" s="614"/>
    </row>
    <row r="30" spans="1:34" x14ac:dyDescent="0.25">
      <c r="A30" s="659"/>
      <c r="B30" s="661"/>
      <c r="C30" s="617"/>
      <c r="D30" s="673"/>
      <c r="E30" s="671"/>
      <c r="F30" s="618"/>
      <c r="G30" s="673"/>
      <c r="H30" s="676"/>
      <c r="I30" s="618"/>
      <c r="J30" s="671"/>
      <c r="K30" s="618"/>
      <c r="L30" s="856"/>
      <c r="M30" s="687"/>
      <c r="N30" s="664">
        <v>34.03</v>
      </c>
      <c r="O30" s="684"/>
      <c r="P30" s="617"/>
      <c r="Q30" s="846"/>
      <c r="R30" s="678"/>
      <c r="S30" s="860"/>
      <c r="T30" s="615"/>
      <c r="U30" s="846"/>
      <c r="V30" s="678"/>
      <c r="W30" s="864"/>
      <c r="X30" s="678"/>
      <c r="Y30" s="864"/>
      <c r="Z30" s="615"/>
      <c r="AA30" s="663"/>
      <c r="AB30" s="615"/>
      <c r="AC30" s="868"/>
      <c r="AD30" s="615"/>
      <c r="AE30" s="681"/>
      <c r="AF30" s="671"/>
      <c r="AG30" s="664"/>
      <c r="AH30" s="614"/>
    </row>
    <row r="31" spans="1:34" x14ac:dyDescent="0.25">
      <c r="A31" s="659"/>
      <c r="B31" s="661"/>
      <c r="C31" s="617"/>
      <c r="D31" s="673"/>
      <c r="E31" s="671"/>
      <c r="F31" s="618"/>
      <c r="G31" s="673"/>
      <c r="H31" s="676"/>
      <c r="I31" s="618"/>
      <c r="J31" s="671"/>
      <c r="K31" s="618"/>
      <c r="L31" s="856"/>
      <c r="M31" s="687"/>
      <c r="N31" s="664">
        <v>95.51</v>
      </c>
      <c r="O31" s="684"/>
      <c r="P31" s="617"/>
      <c r="Q31" s="846"/>
      <c r="R31" s="678"/>
      <c r="S31" s="860"/>
      <c r="T31" s="615"/>
      <c r="U31" s="846"/>
      <c r="V31" s="678"/>
      <c r="W31" s="864"/>
      <c r="X31" s="678"/>
      <c r="Y31" s="864"/>
      <c r="Z31" s="615"/>
      <c r="AA31" s="663"/>
      <c r="AB31" s="615"/>
      <c r="AC31" s="868"/>
      <c r="AD31" s="615"/>
      <c r="AE31" s="681"/>
      <c r="AF31" s="671"/>
      <c r="AG31" s="664"/>
      <c r="AH31" s="614"/>
    </row>
    <row r="32" spans="1:34" x14ac:dyDescent="0.25">
      <c r="A32" s="659"/>
      <c r="B32" s="661"/>
      <c r="C32" s="617"/>
      <c r="D32" s="673"/>
      <c r="E32" s="671"/>
      <c r="F32" s="618"/>
      <c r="G32" s="673"/>
      <c r="H32" s="676"/>
      <c r="I32" s="618"/>
      <c r="J32" s="671"/>
      <c r="K32" s="618"/>
      <c r="L32" s="856"/>
      <c r="M32" s="687"/>
      <c r="N32" s="664">
        <v>23.66</v>
      </c>
      <c r="O32" s="684"/>
      <c r="P32" s="617"/>
      <c r="Q32" s="846"/>
      <c r="R32" s="678"/>
      <c r="S32" s="860"/>
      <c r="T32" s="615"/>
      <c r="U32" s="846"/>
      <c r="V32" s="678"/>
      <c r="W32" s="864"/>
      <c r="X32" s="678"/>
      <c r="Y32" s="864"/>
      <c r="Z32" s="615"/>
      <c r="AA32" s="663"/>
      <c r="AB32" s="615"/>
      <c r="AC32" s="868"/>
      <c r="AD32" s="615"/>
      <c r="AE32" s="681"/>
      <c r="AF32" s="671"/>
      <c r="AG32" s="664"/>
      <c r="AH32" s="614"/>
    </row>
    <row r="33" spans="1:34" ht="15.75" thickBot="1" x14ac:dyDescent="0.3">
      <c r="A33" s="660"/>
      <c r="B33" s="662"/>
      <c r="C33" s="667"/>
      <c r="D33" s="674"/>
      <c r="E33" s="672"/>
      <c r="F33" s="675"/>
      <c r="G33" s="674"/>
      <c r="H33" s="677"/>
      <c r="I33" s="624"/>
      <c r="J33" s="691"/>
      <c r="K33" s="624"/>
      <c r="L33" s="857"/>
      <c r="M33" s="688"/>
      <c r="N33" s="666">
        <v>17.97</v>
      </c>
      <c r="O33" s="686"/>
      <c r="P33" s="623"/>
      <c r="Q33" s="854"/>
      <c r="R33" s="679"/>
      <c r="S33" s="861"/>
      <c r="T33" s="616"/>
      <c r="U33" s="854"/>
      <c r="V33" s="679"/>
      <c r="W33" s="865"/>
      <c r="X33" s="679"/>
      <c r="Y33" s="865"/>
      <c r="Z33" s="680"/>
      <c r="AA33" s="665"/>
      <c r="AB33" s="680"/>
      <c r="AC33" s="869"/>
      <c r="AD33" s="680"/>
      <c r="AE33" s="682"/>
      <c r="AF33" s="683"/>
      <c r="AG33" s="666"/>
      <c r="AH33" s="614"/>
    </row>
    <row r="34" spans="1:34" ht="15.75" thickBot="1" x14ac:dyDescent="0.3">
      <c r="A34" s="1285" t="s">
        <v>102</v>
      </c>
      <c r="B34" s="1284"/>
      <c r="C34" s="1284"/>
      <c r="D34" s="668" t="s">
        <v>103</v>
      </c>
      <c r="E34" s="669" t="s">
        <v>61</v>
      </c>
      <c r="F34" s="670" t="s">
        <v>103</v>
      </c>
      <c r="G34" s="1285" t="s">
        <v>103</v>
      </c>
      <c r="H34" s="1284"/>
      <c r="I34" s="1305" t="s">
        <v>102</v>
      </c>
      <c r="J34" s="1287"/>
      <c r="K34" s="1287"/>
      <c r="L34" s="1306" t="s">
        <v>102</v>
      </c>
      <c r="M34" s="1284"/>
      <c r="N34" s="1284"/>
      <c r="O34" s="1305" t="s">
        <v>104</v>
      </c>
      <c r="P34" s="1307"/>
      <c r="Q34" s="1276" t="s">
        <v>104</v>
      </c>
      <c r="R34" s="1299"/>
      <c r="S34" s="1276" t="s">
        <v>104</v>
      </c>
      <c r="T34" s="1299"/>
      <c r="U34" s="1276" t="s">
        <v>104</v>
      </c>
      <c r="V34" s="1284"/>
      <c r="W34" s="1308"/>
      <c r="X34" s="1308"/>
      <c r="Y34" s="1308"/>
      <c r="Z34" s="1309"/>
      <c r="AA34" s="1285" t="s">
        <v>102</v>
      </c>
      <c r="AB34" s="1304"/>
      <c r="AC34" s="1276" t="s">
        <v>102</v>
      </c>
      <c r="AD34" s="1304"/>
      <c r="AE34" s="1283" t="s">
        <v>102</v>
      </c>
      <c r="AF34" s="1284"/>
      <c r="AG34" s="1304"/>
      <c r="AH34" s="614"/>
    </row>
    <row r="35" spans="1:34" x14ac:dyDescent="0.25">
      <c r="A35" s="872">
        <f>SUM(A3:A33)</f>
        <v>6040.6</v>
      </c>
      <c r="B35" s="626"/>
      <c r="C35" s="627">
        <f>SUM(C3:C33)</f>
        <v>0</v>
      </c>
      <c r="D35" s="871">
        <f>SUM(D3:D33)</f>
        <v>987.21999999999991</v>
      </c>
      <c r="E35" s="629">
        <v>0</v>
      </c>
      <c r="F35" s="870">
        <f>SUM(F3:F33)</f>
        <v>505.38000000000005</v>
      </c>
      <c r="G35" s="628">
        <f>SUM(G3:G33)</f>
        <v>0</v>
      </c>
      <c r="H35" s="630">
        <f>SUM(H3:H33)</f>
        <v>0</v>
      </c>
      <c r="I35" s="628">
        <f>SUM(I3:I33)</f>
        <v>0</v>
      </c>
      <c r="J35" s="629"/>
      <c r="K35" s="630">
        <f>SUM(K3:K33)</f>
        <v>0</v>
      </c>
      <c r="L35" s="631">
        <f>SUM(L3:L33)</f>
        <v>0</v>
      </c>
      <c r="M35" s="873">
        <f>N3+N4+N5+N6+N7+N8+N9+N10</f>
        <v>308.82000000000005</v>
      </c>
      <c r="N35" s="870">
        <f>N27+N28+N29+N30+N31+N32+N33</f>
        <v>258.87</v>
      </c>
      <c r="O35" s="628">
        <f>O3</f>
        <v>1496</v>
      </c>
      <c r="P35" s="632">
        <f>P3</f>
        <v>0</v>
      </c>
      <c r="Q35" s="628">
        <f>SUM(Q3:Q33)</f>
        <v>600</v>
      </c>
      <c r="R35" s="630">
        <v>0</v>
      </c>
      <c r="S35" s="628">
        <f>SUM(S3:S33)</f>
        <v>400</v>
      </c>
      <c r="T35" s="630">
        <v>0</v>
      </c>
      <c r="U35" s="628">
        <f>SUM(U3:U33)</f>
        <v>700</v>
      </c>
      <c r="V35" s="630">
        <v>100</v>
      </c>
      <c r="W35" s="847">
        <f>SUM(W3:W33)</f>
        <v>900</v>
      </c>
      <c r="X35" s="847"/>
      <c r="Y35" s="847">
        <f>SUM(Y3:Y33)</f>
        <v>1960</v>
      </c>
      <c r="Z35" s="847"/>
      <c r="AA35" s="628">
        <f>SUM(AA3:AA33)</f>
        <v>470</v>
      </c>
      <c r="AB35" s="630"/>
      <c r="AC35" s="628">
        <f>SUM(AC3:AC33)</f>
        <v>350</v>
      </c>
      <c r="AD35" s="630"/>
      <c r="AE35" s="631">
        <f>SUM(AE3:AE33)</f>
        <v>0</v>
      </c>
      <c r="AF35" s="629"/>
      <c r="AG35" s="633">
        <f>SUM(AG3:AG33)</f>
        <v>8100</v>
      </c>
      <c r="AH35" s="614"/>
    </row>
    <row r="36" spans="1:34" x14ac:dyDescent="0.25">
      <c r="A36" s="634"/>
      <c r="B36" s="635"/>
      <c r="C36" s="636"/>
      <c r="D36" s="634"/>
      <c r="E36" s="635"/>
      <c r="F36" s="636"/>
      <c r="G36" s="634"/>
      <c r="H36" s="636"/>
      <c r="I36" s="634"/>
      <c r="J36" s="635"/>
      <c r="K36" s="636"/>
      <c r="L36" s="634"/>
      <c r="M36" s="635" t="s">
        <v>49</v>
      </c>
      <c r="N36" s="636" t="s">
        <v>46</v>
      </c>
      <c r="O36" s="634">
        <v>0</v>
      </c>
      <c r="P36" s="636" t="s">
        <v>263</v>
      </c>
      <c r="Q36" s="634">
        <v>0</v>
      </c>
      <c r="R36" s="636" t="s">
        <v>264</v>
      </c>
      <c r="S36" s="634">
        <v>0</v>
      </c>
      <c r="T36" s="636" t="s">
        <v>264</v>
      </c>
      <c r="U36" s="634">
        <v>0</v>
      </c>
      <c r="V36" s="636" t="s">
        <v>264</v>
      </c>
      <c r="W36" s="848"/>
      <c r="X36" s="848"/>
      <c r="Y36" s="848"/>
      <c r="Z36" s="848"/>
      <c r="AA36" s="634">
        <v>0</v>
      </c>
      <c r="AB36" s="636" t="s">
        <v>264</v>
      </c>
      <c r="AC36" s="634"/>
      <c r="AD36" s="636"/>
      <c r="AE36" s="634"/>
      <c r="AF36" s="635"/>
      <c r="AG36" s="637"/>
      <c r="AH36" s="614"/>
    </row>
    <row r="37" spans="1:34" ht="15.75" thickBot="1" x14ac:dyDescent="0.3">
      <c r="A37" s="638"/>
      <c r="B37" s="639"/>
      <c r="C37" s="640"/>
      <c r="D37" s="638"/>
      <c r="E37" s="639"/>
      <c r="F37" s="640"/>
      <c r="G37" s="638"/>
      <c r="H37" s="640"/>
      <c r="I37" s="638"/>
      <c r="J37" s="639"/>
      <c r="K37" s="640"/>
      <c r="L37" s="638"/>
      <c r="M37" s="639"/>
      <c r="N37" s="640"/>
      <c r="O37" s="638">
        <f>O35-O36</f>
        <v>1496</v>
      </c>
      <c r="P37" s="640" t="s">
        <v>263</v>
      </c>
      <c r="Q37" s="638">
        <f>Q35-Q36</f>
        <v>600</v>
      </c>
      <c r="R37" s="640" t="s">
        <v>264</v>
      </c>
      <c r="S37" s="638">
        <f>S35-S36</f>
        <v>400</v>
      </c>
      <c r="T37" s="640" t="s">
        <v>264</v>
      </c>
      <c r="U37" s="638">
        <f>U35-U36</f>
        <v>700</v>
      </c>
      <c r="V37" s="640" t="s">
        <v>264</v>
      </c>
      <c r="W37" s="849"/>
      <c r="X37" s="849"/>
      <c r="Y37" s="850"/>
      <c r="Z37" s="849"/>
      <c r="AA37" s="638">
        <f>AA35-AA36</f>
        <v>470</v>
      </c>
      <c r="AB37" s="640" t="s">
        <v>264</v>
      </c>
      <c r="AC37" s="638"/>
      <c r="AD37" s="640"/>
      <c r="AE37" s="638"/>
      <c r="AF37" s="639"/>
      <c r="AG37" s="641"/>
      <c r="AH37" s="614"/>
    </row>
    <row r="38" spans="1:34" x14ac:dyDescent="0.25">
      <c r="A38" s="610"/>
      <c r="B38" s="610"/>
      <c r="C38" s="610"/>
      <c r="D38" s="610"/>
      <c r="E38" s="610"/>
      <c r="F38" s="610"/>
      <c r="G38" s="610"/>
      <c r="H38" s="610"/>
      <c r="I38" s="610"/>
      <c r="J38" s="610"/>
      <c r="K38" s="610"/>
      <c r="L38" s="610"/>
      <c r="M38" s="610"/>
      <c r="N38" s="610"/>
      <c r="O38" s="610"/>
      <c r="P38" s="610"/>
      <c r="Q38" s="610"/>
      <c r="R38" s="610"/>
      <c r="S38" s="610"/>
      <c r="T38" s="610"/>
      <c r="U38" s="610"/>
      <c r="V38" s="610"/>
      <c r="W38" s="610"/>
      <c r="X38" s="610"/>
      <c r="Y38" s="610"/>
      <c r="Z38" s="610"/>
      <c r="AA38" s="610"/>
      <c r="AB38" s="610"/>
      <c r="AC38" s="610"/>
      <c r="AD38" s="610"/>
      <c r="AE38" s="610"/>
      <c r="AF38" s="610"/>
      <c r="AG38" s="610"/>
    </row>
  </sheetData>
  <mergeCells count="25">
    <mergeCell ref="A34:C34"/>
    <mergeCell ref="G34:H34"/>
    <mergeCell ref="I34:K34"/>
    <mergeCell ref="L34:N34"/>
    <mergeCell ref="O34:P34"/>
    <mergeCell ref="Q34:R34"/>
    <mergeCell ref="AE1:AG1"/>
    <mergeCell ref="AH1:AI1"/>
    <mergeCell ref="AJ1:AK1"/>
    <mergeCell ref="AH4:AI4"/>
    <mergeCell ref="AJ4:AK4"/>
    <mergeCell ref="AH9:AI9"/>
    <mergeCell ref="Q1:AD1"/>
    <mergeCell ref="S34:T34"/>
    <mergeCell ref="U34:V34"/>
    <mergeCell ref="AA34:AB34"/>
    <mergeCell ref="AC34:AD34"/>
    <mergeCell ref="AE34:AG34"/>
    <mergeCell ref="W34:X34"/>
    <mergeCell ref="Y34:Z34"/>
    <mergeCell ref="A1:F1"/>
    <mergeCell ref="G1:H1"/>
    <mergeCell ref="I1:K1"/>
    <mergeCell ref="L1:N1"/>
    <mergeCell ref="O1:P1"/>
  </mergeCells>
  <phoneticPr fontId="30" alignment="center"/>
  <pageMargins left="0.7" right="0.7" top="0.75" bottom="0.75" header="0.3" footer="0.3"/>
  <tableParts count="1">
    <tablePart r:id="rId1"/>
  </tableParts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AI100"/>
  <sheetViews>
    <sheetView workbookViewId="0">
      <selection activeCell="S6" sqref="S6"/>
    </sheetView>
  </sheetViews>
  <sheetFormatPr defaultColWidth="14.42578125" defaultRowHeight="15" customHeight="1" x14ac:dyDescent="0.25"/>
  <cols>
    <col min="1" max="1" width="6.140625" customWidth="1"/>
    <col min="2" max="3" width="7.140625" customWidth="1"/>
    <col min="4" max="4" width="14.140625" customWidth="1"/>
    <col min="5" max="5" width="11.140625" customWidth="1"/>
    <col min="6" max="6" width="8" customWidth="1"/>
    <col min="7" max="7" width="3.28515625" customWidth="1"/>
    <col min="8" max="8" width="13" customWidth="1"/>
    <col min="9" max="9" width="7.42578125" customWidth="1"/>
    <col min="10" max="11" width="7.85546875" customWidth="1"/>
    <col min="12" max="12" width="7.42578125" customWidth="1"/>
    <col min="13" max="13" width="9.140625" customWidth="1"/>
    <col min="14" max="14" width="10.5703125" customWidth="1"/>
    <col min="15" max="15" width="9.140625" customWidth="1"/>
    <col min="16" max="16" width="7.140625" customWidth="1"/>
    <col min="17" max="18" width="10.5703125" customWidth="1"/>
    <col min="19" max="19" width="8.85546875" customWidth="1"/>
    <col min="20" max="20" width="7.42578125" customWidth="1"/>
    <col min="21" max="35" width="8.7109375" customWidth="1"/>
  </cols>
  <sheetData>
    <row r="1" spans="1:35" ht="18.75" x14ac:dyDescent="0.25">
      <c r="A1" s="552">
        <v>2019</v>
      </c>
      <c r="B1" s="1318" t="s">
        <v>233</v>
      </c>
      <c r="C1" s="1264"/>
      <c r="D1" s="1318" t="s">
        <v>234</v>
      </c>
      <c r="E1" s="1319"/>
      <c r="F1" s="1319"/>
      <c r="G1" s="1319"/>
      <c r="H1" s="1264"/>
      <c r="I1" s="1318" t="s">
        <v>235</v>
      </c>
      <c r="J1" s="1319"/>
      <c r="K1" s="1320"/>
      <c r="L1" s="1321" t="s">
        <v>236</v>
      </c>
      <c r="M1" s="1315"/>
      <c r="N1" s="1315"/>
      <c r="O1" s="1315"/>
      <c r="P1" s="1315"/>
      <c r="Q1" s="1315"/>
      <c r="R1" s="1315"/>
      <c r="S1" s="1315"/>
      <c r="T1" s="1258"/>
    </row>
    <row r="2" spans="1:35" x14ac:dyDescent="0.25">
      <c r="A2" s="553" t="s">
        <v>237</v>
      </c>
      <c r="B2" s="553" t="s">
        <v>80</v>
      </c>
      <c r="C2" s="554" t="s">
        <v>238</v>
      </c>
      <c r="D2" s="553" t="s">
        <v>239</v>
      </c>
      <c r="E2" s="554" t="s">
        <v>240</v>
      </c>
      <c r="F2" s="555" t="s">
        <v>241</v>
      </c>
      <c r="G2" s="555" t="s">
        <v>242</v>
      </c>
      <c r="H2" s="555" t="s">
        <v>211</v>
      </c>
      <c r="I2" s="553" t="s">
        <v>235</v>
      </c>
      <c r="J2" s="554" t="s">
        <v>19</v>
      </c>
      <c r="K2" s="554" t="s">
        <v>231</v>
      </c>
      <c r="L2" s="1313" t="s">
        <v>243</v>
      </c>
      <c r="M2" s="1312"/>
      <c r="N2" s="554" t="s">
        <v>244</v>
      </c>
      <c r="O2" s="554" t="s">
        <v>245</v>
      </c>
      <c r="P2" s="554" t="s">
        <v>246</v>
      </c>
      <c r="Q2" s="554" t="s">
        <v>247</v>
      </c>
      <c r="R2" s="554" t="s">
        <v>248</v>
      </c>
      <c r="S2" s="554" t="s">
        <v>232</v>
      </c>
      <c r="T2" s="556" t="s">
        <v>249</v>
      </c>
      <c r="U2" s="30"/>
      <c r="V2" s="30"/>
      <c r="W2" s="30"/>
      <c r="X2" s="30"/>
      <c r="Y2" s="30"/>
      <c r="Z2" s="30"/>
      <c r="AA2" s="557"/>
      <c r="AB2" s="557"/>
      <c r="AC2" s="557"/>
      <c r="AD2" s="557"/>
      <c r="AE2" s="557"/>
      <c r="AF2" s="30"/>
      <c r="AG2" s="30"/>
      <c r="AH2" s="30"/>
      <c r="AI2" s="30"/>
    </row>
    <row r="3" spans="1:35" x14ac:dyDescent="0.25">
      <c r="A3" s="558">
        <v>1</v>
      </c>
      <c r="B3" s="559">
        <v>43467</v>
      </c>
      <c r="C3" s="560">
        <v>43510</v>
      </c>
      <c r="D3" s="561">
        <f t="shared" ref="D3:D10" si="0">_xlfn.SINGLE(_xlfn.DAYS(C3,B3))-1</f>
        <v>42</v>
      </c>
      <c r="E3" s="562">
        <f t="shared" ref="E3:E10" si="1">D3-F3-G3</f>
        <v>33</v>
      </c>
      <c r="F3" s="562">
        <v>3</v>
      </c>
      <c r="G3" s="562">
        <v>6</v>
      </c>
      <c r="H3" s="562">
        <f t="shared" ref="H3:H10" si="2">_xlfn.SINGLE(_xlfn.DAYS(B4,C3))+1</f>
        <v>11</v>
      </c>
      <c r="I3" s="563">
        <f t="shared" ref="I3:I11" si="3">J3+K3</f>
        <v>341</v>
      </c>
      <c r="J3" s="564">
        <v>198</v>
      </c>
      <c r="K3" s="564">
        <v>143</v>
      </c>
      <c r="L3" s="565">
        <v>478</v>
      </c>
      <c r="M3" s="566">
        <f t="shared" ref="M3:M10" si="4">L3*25.5</f>
        <v>12189</v>
      </c>
      <c r="N3" s="566">
        <v>83000</v>
      </c>
      <c r="O3" s="567">
        <v>5000</v>
      </c>
      <c r="P3" s="566"/>
      <c r="Q3" s="566">
        <f t="shared" ref="Q3:Q7" si="5">M3+N3+O3</f>
        <v>100189</v>
      </c>
      <c r="R3" s="566">
        <f t="shared" ref="R3:R7" si="6">(J3*260)+(K3*280)</f>
        <v>91520</v>
      </c>
      <c r="S3" s="568">
        <f t="shared" ref="S3:S10" si="7">-Q3+R3</f>
        <v>-8669</v>
      </c>
      <c r="T3" s="569"/>
      <c r="U3" s="30"/>
      <c r="V3" s="30" t="s">
        <v>250</v>
      </c>
      <c r="W3" s="30" t="s">
        <v>251</v>
      </c>
      <c r="X3" s="30" t="s">
        <v>252</v>
      </c>
      <c r="Y3" s="30" t="s">
        <v>253</v>
      </c>
      <c r="Z3" s="30"/>
      <c r="AA3" s="557"/>
      <c r="AB3" s="557"/>
      <c r="AC3" s="557"/>
      <c r="AD3" s="557"/>
      <c r="AE3" s="557"/>
      <c r="AF3" s="30"/>
      <c r="AG3" s="30"/>
      <c r="AH3" s="30"/>
      <c r="AI3" s="30"/>
    </row>
    <row r="4" spans="1:35" x14ac:dyDescent="0.25">
      <c r="A4" s="570">
        <v>2</v>
      </c>
      <c r="B4" s="571">
        <v>43520</v>
      </c>
      <c r="C4" s="572">
        <v>43545</v>
      </c>
      <c r="D4" s="573">
        <f t="shared" si="0"/>
        <v>24</v>
      </c>
      <c r="E4" s="574">
        <f t="shared" si="1"/>
        <v>20</v>
      </c>
      <c r="F4" s="574">
        <v>3</v>
      </c>
      <c r="G4" s="574">
        <v>1</v>
      </c>
      <c r="H4" s="574">
        <f t="shared" si="2"/>
        <v>12</v>
      </c>
      <c r="I4" s="575">
        <f t="shared" si="3"/>
        <v>205.5</v>
      </c>
      <c r="J4" s="576">
        <v>0</v>
      </c>
      <c r="K4" s="576">
        <v>205.5</v>
      </c>
      <c r="L4" s="577">
        <v>837</v>
      </c>
      <c r="M4" s="578">
        <f t="shared" si="4"/>
        <v>21343.5</v>
      </c>
      <c r="N4" s="578">
        <v>35000</v>
      </c>
      <c r="O4" s="578">
        <v>0</v>
      </c>
      <c r="P4" s="578"/>
      <c r="Q4" s="578">
        <f t="shared" si="5"/>
        <v>56343.5</v>
      </c>
      <c r="R4" s="578">
        <f t="shared" si="6"/>
        <v>57540</v>
      </c>
      <c r="S4" s="579">
        <f t="shared" si="7"/>
        <v>1196.5</v>
      </c>
      <c r="T4" s="580"/>
      <c r="U4" s="30">
        <v>1</v>
      </c>
      <c r="V4" s="30">
        <v>83000</v>
      </c>
      <c r="W4" s="30">
        <v>478</v>
      </c>
      <c r="X4" s="30">
        <v>198</v>
      </c>
      <c r="Y4" s="30">
        <v>143</v>
      </c>
      <c r="Z4" s="30"/>
      <c r="AA4" s="557"/>
      <c r="AB4" s="557"/>
      <c r="AC4" s="557"/>
      <c r="AD4" s="557"/>
      <c r="AE4" s="557"/>
      <c r="AF4" s="30"/>
      <c r="AG4" s="30"/>
      <c r="AH4" s="30"/>
      <c r="AI4" s="30"/>
    </row>
    <row r="5" spans="1:35" x14ac:dyDescent="0.25">
      <c r="A5" s="581">
        <v>3</v>
      </c>
      <c r="B5" s="582">
        <v>43556</v>
      </c>
      <c r="C5" s="583">
        <v>43593</v>
      </c>
      <c r="D5" s="584">
        <f t="shared" si="0"/>
        <v>36</v>
      </c>
      <c r="E5" s="585">
        <f t="shared" si="1"/>
        <v>27</v>
      </c>
      <c r="F5" s="585">
        <v>6</v>
      </c>
      <c r="G5" s="585">
        <v>3</v>
      </c>
      <c r="H5" s="585">
        <f t="shared" si="2"/>
        <v>8</v>
      </c>
      <c r="I5" s="586">
        <f t="shared" si="3"/>
        <v>279</v>
      </c>
      <c r="J5" s="587">
        <v>147</v>
      </c>
      <c r="K5" s="587">
        <v>132</v>
      </c>
      <c r="L5" s="588">
        <v>542</v>
      </c>
      <c r="M5" s="589">
        <f t="shared" si="4"/>
        <v>13821</v>
      </c>
      <c r="N5" s="589">
        <v>50000</v>
      </c>
      <c r="O5" s="589">
        <v>9429</v>
      </c>
      <c r="P5" s="589"/>
      <c r="Q5" s="589">
        <f t="shared" si="5"/>
        <v>73250</v>
      </c>
      <c r="R5" s="589">
        <f t="shared" si="6"/>
        <v>75180</v>
      </c>
      <c r="S5" s="590">
        <f t="shared" si="7"/>
        <v>1930</v>
      </c>
      <c r="T5" s="591"/>
      <c r="U5" s="30">
        <v>2</v>
      </c>
      <c r="V5" s="30">
        <v>35000</v>
      </c>
      <c r="W5" s="30">
        <v>837</v>
      </c>
      <c r="X5" s="30"/>
      <c r="Y5" s="30" t="s">
        <v>254</v>
      </c>
      <c r="Z5" s="30" t="s">
        <v>255</v>
      </c>
      <c r="AA5" s="557"/>
      <c r="AB5" s="557"/>
      <c r="AC5" s="557"/>
      <c r="AD5" s="557"/>
      <c r="AE5" s="557"/>
      <c r="AF5" s="30"/>
      <c r="AG5" s="30"/>
      <c r="AH5" s="30"/>
      <c r="AI5" s="30"/>
    </row>
    <row r="6" spans="1:35" x14ac:dyDescent="0.25">
      <c r="A6" s="570">
        <v>4</v>
      </c>
      <c r="B6" s="571">
        <v>43600</v>
      </c>
      <c r="C6" s="572">
        <v>43638</v>
      </c>
      <c r="D6" s="573">
        <f t="shared" si="0"/>
        <v>37</v>
      </c>
      <c r="E6" s="574">
        <f t="shared" si="1"/>
        <v>29</v>
      </c>
      <c r="F6" s="574">
        <v>6</v>
      </c>
      <c r="G6" s="574">
        <v>2</v>
      </c>
      <c r="H6" s="574">
        <f t="shared" si="2"/>
        <v>6</v>
      </c>
      <c r="I6" s="575">
        <f t="shared" si="3"/>
        <v>309.5</v>
      </c>
      <c r="J6" s="576">
        <v>0</v>
      </c>
      <c r="K6" s="576">
        <v>309.5</v>
      </c>
      <c r="L6" s="577">
        <v>355</v>
      </c>
      <c r="M6" s="578">
        <f t="shared" si="4"/>
        <v>9052.5</v>
      </c>
      <c r="N6" s="578">
        <v>75000</v>
      </c>
      <c r="O6" s="578">
        <v>7441</v>
      </c>
      <c r="P6" s="578"/>
      <c r="Q6" s="578">
        <f t="shared" si="5"/>
        <v>91493.5</v>
      </c>
      <c r="R6" s="578">
        <f t="shared" si="6"/>
        <v>86660</v>
      </c>
      <c r="S6" s="579">
        <f t="shared" si="7"/>
        <v>-4833.5</v>
      </c>
      <c r="T6" s="592"/>
      <c r="U6" s="30">
        <v>3</v>
      </c>
      <c r="V6" s="30">
        <v>50000</v>
      </c>
      <c r="W6" s="30">
        <v>542</v>
      </c>
      <c r="X6" s="30">
        <v>147</v>
      </c>
      <c r="Y6" s="30">
        <v>132</v>
      </c>
      <c r="Z6" s="551" t="s">
        <v>256</v>
      </c>
      <c r="AA6" s="557"/>
      <c r="AB6" s="557"/>
      <c r="AC6" s="557"/>
      <c r="AD6" s="557"/>
      <c r="AE6" s="557"/>
      <c r="AF6" s="30"/>
      <c r="AG6" s="30"/>
      <c r="AH6" s="30"/>
      <c r="AI6" s="30"/>
    </row>
    <row r="7" spans="1:35" x14ac:dyDescent="0.25">
      <c r="A7" s="581">
        <v>5</v>
      </c>
      <c r="B7" s="582">
        <v>43643</v>
      </c>
      <c r="C7" s="583">
        <v>43659</v>
      </c>
      <c r="D7" s="584">
        <f t="shared" si="0"/>
        <v>15</v>
      </c>
      <c r="E7" s="585">
        <f t="shared" si="1"/>
        <v>13</v>
      </c>
      <c r="F7" s="585">
        <v>2</v>
      </c>
      <c r="G7" s="585">
        <v>0</v>
      </c>
      <c r="H7" s="585">
        <f t="shared" si="2"/>
        <v>2</v>
      </c>
      <c r="I7" s="586">
        <f t="shared" si="3"/>
        <v>133</v>
      </c>
      <c r="J7" s="587">
        <v>133</v>
      </c>
      <c r="K7" s="587">
        <v>0</v>
      </c>
      <c r="L7" s="588">
        <v>295</v>
      </c>
      <c r="M7" s="589">
        <f t="shared" si="4"/>
        <v>7522.5</v>
      </c>
      <c r="N7" s="589">
        <v>25000</v>
      </c>
      <c r="O7" s="589">
        <v>0</v>
      </c>
      <c r="P7" s="589"/>
      <c r="Q7" s="589">
        <f t="shared" si="5"/>
        <v>32522.5</v>
      </c>
      <c r="R7" s="589">
        <f t="shared" si="6"/>
        <v>34580</v>
      </c>
      <c r="S7" s="590">
        <f t="shared" si="7"/>
        <v>2057.5</v>
      </c>
      <c r="T7" s="591"/>
      <c r="U7" s="30">
        <v>4</v>
      </c>
      <c r="V7" s="30">
        <v>75000</v>
      </c>
      <c r="W7" s="30">
        <v>355</v>
      </c>
      <c r="X7" s="30"/>
      <c r="Y7" s="30" t="s">
        <v>257</v>
      </c>
      <c r="Z7" s="551" t="s">
        <v>258</v>
      </c>
      <c r="AA7" s="557"/>
      <c r="AB7" s="557"/>
      <c r="AC7" s="557"/>
      <c r="AD7" s="557"/>
      <c r="AE7" s="557"/>
      <c r="AF7" s="30"/>
      <c r="AG7" s="30"/>
      <c r="AH7" s="30"/>
      <c r="AI7" s="30"/>
    </row>
    <row r="8" spans="1:35" x14ac:dyDescent="0.25">
      <c r="A8" s="570">
        <v>6</v>
      </c>
      <c r="B8" s="571">
        <v>43660</v>
      </c>
      <c r="C8" s="572">
        <v>43686</v>
      </c>
      <c r="D8" s="573">
        <f t="shared" si="0"/>
        <v>25</v>
      </c>
      <c r="E8" s="574">
        <f t="shared" si="1"/>
        <v>20</v>
      </c>
      <c r="F8" s="574">
        <v>4</v>
      </c>
      <c r="G8" s="574">
        <v>1</v>
      </c>
      <c r="H8" s="574">
        <f t="shared" si="2"/>
        <v>10</v>
      </c>
      <c r="I8" s="575">
        <f t="shared" si="3"/>
        <v>215.5</v>
      </c>
      <c r="J8" s="576">
        <v>206</v>
      </c>
      <c r="K8" s="576">
        <v>9.5</v>
      </c>
      <c r="L8" s="577">
        <v>400</v>
      </c>
      <c r="M8" s="578">
        <f t="shared" si="4"/>
        <v>10200</v>
      </c>
      <c r="N8" s="578">
        <v>62612</v>
      </c>
      <c r="O8" s="578">
        <v>14054</v>
      </c>
      <c r="P8" s="578"/>
      <c r="Q8" s="578">
        <f>M8+N8</f>
        <v>72812</v>
      </c>
      <c r="R8" s="578">
        <f>(J8*270)+(K8*290)+O8</f>
        <v>72429</v>
      </c>
      <c r="S8" s="579">
        <f t="shared" si="7"/>
        <v>-383</v>
      </c>
      <c r="T8" s="592"/>
      <c r="U8" s="30">
        <v>5</v>
      </c>
      <c r="V8" s="30">
        <v>25000</v>
      </c>
      <c r="W8" s="30">
        <v>295</v>
      </c>
      <c r="X8" s="30">
        <v>133</v>
      </c>
      <c r="Y8" s="30"/>
      <c r="Z8" s="30"/>
      <c r="AA8" s="557"/>
      <c r="AB8" s="557"/>
      <c r="AC8" s="557"/>
      <c r="AD8" s="557"/>
      <c r="AE8" s="557"/>
      <c r="AF8" s="30"/>
      <c r="AG8" s="30"/>
      <c r="AH8" s="30"/>
      <c r="AI8" s="30"/>
    </row>
    <row r="9" spans="1:35" x14ac:dyDescent="0.25">
      <c r="A9" s="581">
        <v>7</v>
      </c>
      <c r="B9" s="582">
        <v>43695</v>
      </c>
      <c r="C9" s="583">
        <v>43721</v>
      </c>
      <c r="D9" s="584">
        <f t="shared" si="0"/>
        <v>25</v>
      </c>
      <c r="E9" s="585">
        <f t="shared" si="1"/>
        <v>21</v>
      </c>
      <c r="F9" s="585">
        <v>3</v>
      </c>
      <c r="G9" s="585">
        <v>1</v>
      </c>
      <c r="H9" s="585">
        <f t="shared" si="2"/>
        <v>11</v>
      </c>
      <c r="I9" s="586">
        <f t="shared" si="3"/>
        <v>235.5</v>
      </c>
      <c r="J9" s="587">
        <v>235.5</v>
      </c>
      <c r="K9" s="587">
        <v>0</v>
      </c>
      <c r="L9" s="588">
        <v>195</v>
      </c>
      <c r="M9" s="589">
        <f t="shared" si="4"/>
        <v>4972.5</v>
      </c>
      <c r="N9" s="589">
        <v>49742</v>
      </c>
      <c r="O9" s="589"/>
      <c r="P9" s="589"/>
      <c r="Q9" s="589">
        <f t="shared" ref="Q9:Q10" si="8">M9+N9+O9</f>
        <v>54714.5</v>
      </c>
      <c r="R9" s="589">
        <f t="shared" ref="R9:R10" si="9">(J9*270)+(K9*290)</f>
        <v>63585</v>
      </c>
      <c r="S9" s="590">
        <f t="shared" si="7"/>
        <v>8870.5</v>
      </c>
      <c r="T9" s="591"/>
      <c r="U9" s="30">
        <v>6</v>
      </c>
      <c r="V9" s="30">
        <v>62612</v>
      </c>
      <c r="W9" s="30">
        <v>400</v>
      </c>
      <c r="X9" s="30">
        <v>206</v>
      </c>
      <c r="Y9" s="30">
        <v>9.5</v>
      </c>
      <c r="Z9" s="30"/>
      <c r="AA9" s="557"/>
      <c r="AB9" s="557"/>
      <c r="AC9" s="557"/>
      <c r="AD9" s="557"/>
      <c r="AE9" s="557"/>
      <c r="AF9" s="30"/>
      <c r="AG9" s="30"/>
      <c r="AH9" s="30"/>
      <c r="AI9" s="30"/>
    </row>
    <row r="10" spans="1:35" x14ac:dyDescent="0.25">
      <c r="A10" s="570">
        <v>8</v>
      </c>
      <c r="B10" s="571">
        <v>43731</v>
      </c>
      <c r="C10" s="572">
        <v>43769</v>
      </c>
      <c r="D10" s="573">
        <f t="shared" si="0"/>
        <v>37</v>
      </c>
      <c r="E10" s="574">
        <f t="shared" si="1"/>
        <v>37</v>
      </c>
      <c r="F10" s="574"/>
      <c r="G10" s="574"/>
      <c r="H10" s="585">
        <f t="shared" si="2"/>
        <v>8</v>
      </c>
      <c r="I10" s="575">
        <f t="shared" si="3"/>
        <v>0</v>
      </c>
      <c r="J10" s="576"/>
      <c r="K10" s="576"/>
      <c r="L10" s="577"/>
      <c r="M10" s="578">
        <f t="shared" si="4"/>
        <v>0</v>
      </c>
      <c r="N10" s="578"/>
      <c r="O10" s="578"/>
      <c r="P10" s="578"/>
      <c r="Q10" s="578">
        <f t="shared" si="8"/>
        <v>0</v>
      </c>
      <c r="R10" s="578">
        <f t="shared" si="9"/>
        <v>0</v>
      </c>
      <c r="S10" s="579">
        <f t="shared" si="7"/>
        <v>0</v>
      </c>
      <c r="T10" s="592"/>
      <c r="U10" s="30">
        <v>7</v>
      </c>
      <c r="V10" s="30"/>
      <c r="W10" s="30"/>
      <c r="X10" s="30"/>
      <c r="Y10" s="30"/>
      <c r="Z10" s="30"/>
      <c r="AA10" s="557"/>
      <c r="AB10" s="557"/>
      <c r="AC10" s="557"/>
      <c r="AD10" s="557"/>
      <c r="AE10" s="557"/>
      <c r="AF10" s="30"/>
      <c r="AG10" s="30"/>
      <c r="AH10" s="30"/>
      <c r="AI10" s="30"/>
    </row>
    <row r="11" spans="1:35" x14ac:dyDescent="0.25">
      <c r="A11" s="581"/>
      <c r="B11" s="582">
        <v>43776</v>
      </c>
      <c r="C11" s="583"/>
      <c r="D11" s="584"/>
      <c r="E11" s="585"/>
      <c r="F11" s="585"/>
      <c r="G11" s="585"/>
      <c r="H11" s="585"/>
      <c r="I11" s="586">
        <f t="shared" si="3"/>
        <v>0</v>
      </c>
      <c r="J11" s="587"/>
      <c r="K11" s="587"/>
      <c r="L11" s="588"/>
      <c r="M11" s="589"/>
      <c r="N11" s="589"/>
      <c r="O11" s="589"/>
      <c r="P11" s="589"/>
      <c r="Q11" s="589"/>
      <c r="R11" s="589"/>
      <c r="S11" s="590"/>
      <c r="T11" s="591"/>
      <c r="U11" s="30">
        <v>8</v>
      </c>
      <c r="V11" s="30"/>
      <c r="W11" s="30"/>
      <c r="X11" s="30"/>
      <c r="Y11" s="30"/>
      <c r="Z11" s="30"/>
      <c r="AA11" s="557"/>
      <c r="AB11" s="557"/>
      <c r="AC11" s="557"/>
      <c r="AD11" s="557"/>
      <c r="AE11" s="557"/>
      <c r="AF11" s="30"/>
      <c r="AG11" s="30"/>
      <c r="AH11" s="30"/>
      <c r="AI11" s="30"/>
    </row>
    <row r="12" spans="1:35" x14ac:dyDescent="0.25">
      <c r="A12" s="570"/>
      <c r="B12" s="571"/>
      <c r="C12" s="572"/>
      <c r="D12" s="573"/>
      <c r="E12" s="574"/>
      <c r="F12" s="574"/>
      <c r="G12" s="574"/>
      <c r="H12" s="574"/>
      <c r="I12" s="575"/>
      <c r="J12" s="576"/>
      <c r="K12" s="576"/>
      <c r="L12" s="577"/>
      <c r="M12" s="578"/>
      <c r="N12" s="578"/>
      <c r="O12" s="578"/>
      <c r="P12" s="578"/>
      <c r="Q12" s="578"/>
      <c r="R12" s="578"/>
      <c r="S12" s="579"/>
      <c r="T12" s="592"/>
      <c r="U12" s="30"/>
      <c r="V12" s="30">
        <v>14054</v>
      </c>
      <c r="W12" s="30"/>
      <c r="X12" s="30"/>
      <c r="Y12" s="30"/>
      <c r="Z12" s="30"/>
      <c r="AA12" s="557"/>
      <c r="AB12" s="557"/>
      <c r="AC12" s="557"/>
      <c r="AD12" s="557"/>
      <c r="AE12" s="557"/>
      <c r="AF12" s="30"/>
      <c r="AG12" s="30"/>
      <c r="AH12" s="30"/>
      <c r="AI12" s="30"/>
    </row>
    <row r="13" spans="1:35" x14ac:dyDescent="0.25">
      <c r="A13" s="581"/>
      <c r="B13" s="582"/>
      <c r="C13" s="583"/>
      <c r="D13" s="584"/>
      <c r="E13" s="585"/>
      <c r="F13" s="585"/>
      <c r="G13" s="585"/>
      <c r="H13" s="585"/>
      <c r="I13" s="586"/>
      <c r="J13" s="587"/>
      <c r="K13" s="587"/>
      <c r="L13" s="588"/>
      <c r="M13" s="589"/>
      <c r="N13" s="589"/>
      <c r="O13" s="589"/>
      <c r="P13" s="589"/>
      <c r="Q13" s="589"/>
      <c r="R13" s="589"/>
      <c r="S13" s="590"/>
      <c r="T13" s="591"/>
      <c r="U13" s="30"/>
      <c r="V13" s="30"/>
      <c r="W13" s="1294" t="s">
        <v>259</v>
      </c>
      <c r="X13" s="1310"/>
      <c r="Y13" s="30"/>
      <c r="Z13" s="30"/>
      <c r="AA13" s="557"/>
      <c r="AB13" s="557"/>
      <c r="AC13" s="557"/>
      <c r="AD13" s="557"/>
      <c r="AE13" s="557"/>
      <c r="AF13" s="30"/>
      <c r="AG13" s="30"/>
      <c r="AH13" s="30"/>
      <c r="AI13" s="30"/>
    </row>
    <row r="14" spans="1:35" x14ac:dyDescent="0.25">
      <c r="A14" s="570"/>
      <c r="B14" s="571"/>
      <c r="C14" s="572"/>
      <c r="D14" s="573"/>
      <c r="E14" s="574"/>
      <c r="F14" s="574"/>
      <c r="G14" s="574"/>
      <c r="H14" s="574"/>
      <c r="I14" s="575"/>
      <c r="J14" s="576"/>
      <c r="K14" s="576"/>
      <c r="L14" s="577"/>
      <c r="M14" s="578"/>
      <c r="N14" s="578"/>
      <c r="O14" s="578"/>
      <c r="P14" s="578"/>
      <c r="Q14" s="578"/>
      <c r="R14" s="578"/>
      <c r="S14" s="579"/>
      <c r="T14" s="592"/>
      <c r="U14" s="30"/>
      <c r="V14" s="30"/>
      <c r="W14" s="30">
        <v>150</v>
      </c>
      <c r="X14" s="30">
        <f>W14*25.5</f>
        <v>3825</v>
      </c>
      <c r="Y14" s="30"/>
      <c r="Z14" s="30"/>
      <c r="AA14" s="557"/>
      <c r="AB14" s="557"/>
      <c r="AC14" s="557"/>
      <c r="AD14" s="557"/>
      <c r="AE14" s="557"/>
      <c r="AF14" s="30"/>
      <c r="AG14" s="30"/>
      <c r="AH14" s="30"/>
      <c r="AI14" s="30"/>
    </row>
    <row r="15" spans="1:35" x14ac:dyDescent="0.25">
      <c r="A15" s="581"/>
      <c r="B15" s="582"/>
      <c r="C15" s="583"/>
      <c r="D15" s="584"/>
      <c r="E15" s="585"/>
      <c r="F15" s="585"/>
      <c r="G15" s="585"/>
      <c r="H15" s="585"/>
      <c r="I15" s="586"/>
      <c r="J15" s="587"/>
      <c r="K15" s="587"/>
      <c r="L15" s="588"/>
      <c r="M15" s="589"/>
      <c r="N15" s="589"/>
      <c r="O15" s="589"/>
      <c r="P15" s="589"/>
      <c r="Q15" s="589"/>
      <c r="R15" s="589"/>
      <c r="S15" s="590"/>
      <c r="T15" s="591"/>
      <c r="U15" s="30"/>
      <c r="V15" s="30"/>
      <c r="W15" s="30"/>
      <c r="X15" s="30"/>
      <c r="Y15" s="30"/>
      <c r="Z15" s="30"/>
      <c r="AA15" s="557"/>
      <c r="AB15" s="557"/>
      <c r="AC15" s="557"/>
      <c r="AD15" s="557"/>
      <c r="AE15" s="557"/>
      <c r="AF15" s="30"/>
      <c r="AG15" s="30"/>
      <c r="AH15" s="30"/>
      <c r="AI15" s="30"/>
    </row>
    <row r="16" spans="1:35" x14ac:dyDescent="0.25">
      <c r="A16" s="570"/>
      <c r="B16" s="571"/>
      <c r="C16" s="572"/>
      <c r="D16" s="573"/>
      <c r="E16" s="574"/>
      <c r="F16" s="574"/>
      <c r="G16" s="574"/>
      <c r="H16" s="574"/>
      <c r="I16" s="575"/>
      <c r="J16" s="576"/>
      <c r="K16" s="576"/>
      <c r="L16" s="577"/>
      <c r="M16" s="578"/>
      <c r="N16" s="578"/>
      <c r="O16" s="578"/>
      <c r="P16" s="578"/>
      <c r="Q16" s="578"/>
      <c r="R16" s="578"/>
      <c r="S16" s="579"/>
      <c r="T16" s="592"/>
      <c r="U16" s="30"/>
      <c r="V16" s="30"/>
      <c r="W16" s="30"/>
      <c r="X16" s="30"/>
      <c r="Y16" s="30"/>
      <c r="Z16" s="30"/>
      <c r="AA16" s="557"/>
      <c r="AB16" s="557"/>
      <c r="AC16" s="557"/>
      <c r="AD16" s="557"/>
      <c r="AE16" s="557"/>
      <c r="AF16" s="30"/>
      <c r="AG16" s="30"/>
      <c r="AH16" s="30"/>
      <c r="AI16" s="30"/>
    </row>
    <row r="17" spans="1:35" x14ac:dyDescent="0.25">
      <c r="A17" s="581"/>
      <c r="B17" s="582"/>
      <c r="C17" s="583"/>
      <c r="D17" s="584"/>
      <c r="E17" s="585"/>
      <c r="F17" s="585"/>
      <c r="G17" s="585"/>
      <c r="H17" s="585"/>
      <c r="I17" s="586"/>
      <c r="J17" s="587"/>
      <c r="K17" s="587"/>
      <c r="L17" s="588"/>
      <c r="M17" s="589"/>
      <c r="N17" s="589"/>
      <c r="O17" s="589"/>
      <c r="P17" s="589"/>
      <c r="Q17" s="589"/>
      <c r="R17" s="589"/>
      <c r="S17" s="590"/>
      <c r="T17" s="591"/>
      <c r="U17" s="30"/>
      <c r="V17" s="30"/>
      <c r="W17" s="30"/>
      <c r="X17" s="30"/>
      <c r="Y17" s="30"/>
      <c r="Z17" s="30"/>
      <c r="AA17" s="557"/>
      <c r="AB17" s="557"/>
      <c r="AC17" s="557"/>
      <c r="AD17" s="557"/>
      <c r="AE17" s="557"/>
      <c r="AF17" s="30"/>
      <c r="AG17" s="30"/>
      <c r="AH17" s="30"/>
      <c r="AI17" s="30"/>
    </row>
    <row r="18" spans="1:35" x14ac:dyDescent="0.25">
      <c r="A18" s="570"/>
      <c r="B18" s="571"/>
      <c r="C18" s="572"/>
      <c r="D18" s="573"/>
      <c r="E18" s="574"/>
      <c r="F18" s="574"/>
      <c r="G18" s="574"/>
      <c r="H18" s="574"/>
      <c r="I18" s="575"/>
      <c r="J18" s="576"/>
      <c r="K18" s="576"/>
      <c r="L18" s="577"/>
      <c r="M18" s="578"/>
      <c r="N18" s="578"/>
      <c r="O18" s="578"/>
      <c r="P18" s="578"/>
      <c r="Q18" s="578"/>
      <c r="R18" s="578"/>
      <c r="S18" s="579"/>
      <c r="T18" s="593"/>
      <c r="U18" s="30"/>
      <c r="V18" s="30"/>
      <c r="W18" s="30"/>
      <c r="X18" s="30"/>
      <c r="Y18" s="30"/>
      <c r="Z18" s="30"/>
      <c r="AA18" s="557"/>
      <c r="AB18" s="557"/>
      <c r="AC18" s="557"/>
      <c r="AD18" s="557"/>
      <c r="AE18" s="557"/>
      <c r="AF18" s="30"/>
      <c r="AG18" s="30"/>
      <c r="AH18" s="30"/>
      <c r="AI18" s="30"/>
    </row>
    <row r="19" spans="1:35" x14ac:dyDescent="0.25">
      <c r="A19" s="594"/>
      <c r="B19" s="595"/>
      <c r="C19" s="595"/>
      <c r="D19" s="1314" t="s">
        <v>260</v>
      </c>
      <c r="E19" s="1315"/>
      <c r="F19" s="1315"/>
      <c r="G19" s="1315"/>
      <c r="H19" s="1258"/>
      <c r="I19" s="1314" t="s">
        <v>261</v>
      </c>
      <c r="J19" s="1315"/>
      <c r="K19" s="1316"/>
      <c r="L19" s="1314" t="s">
        <v>262</v>
      </c>
      <c r="M19" s="1315"/>
      <c r="N19" s="1315"/>
      <c r="O19" s="1317"/>
      <c r="P19" s="596"/>
      <c r="Q19" s="1322" t="s">
        <v>262</v>
      </c>
      <c r="R19" s="1319"/>
      <c r="S19" s="1319"/>
      <c r="T19" s="1264"/>
      <c r="U19" s="30"/>
      <c r="V19" s="30"/>
      <c r="W19" s="30"/>
      <c r="X19" s="30"/>
      <c r="Y19" s="30"/>
      <c r="Z19" s="30"/>
      <c r="AA19" s="557"/>
      <c r="AB19" s="557"/>
      <c r="AC19" s="557"/>
      <c r="AD19" s="557"/>
      <c r="AE19" s="557"/>
      <c r="AF19" s="30"/>
      <c r="AG19" s="30"/>
      <c r="AH19" s="30"/>
      <c r="AI19" s="30"/>
    </row>
    <row r="20" spans="1:35" x14ac:dyDescent="0.25">
      <c r="A20" s="597"/>
      <c r="B20" s="598"/>
      <c r="C20" s="598"/>
      <c r="D20" s="599">
        <f t="shared" ref="D20:N20" si="10">SUM(D3:D18)</f>
        <v>241</v>
      </c>
      <c r="E20" s="600">
        <f t="shared" si="10"/>
        <v>200</v>
      </c>
      <c r="F20" s="600">
        <f t="shared" si="10"/>
        <v>27</v>
      </c>
      <c r="G20" s="601">
        <f t="shared" si="10"/>
        <v>14</v>
      </c>
      <c r="H20" s="602">
        <f t="shared" si="10"/>
        <v>68</v>
      </c>
      <c r="I20" s="603">
        <f t="shared" si="10"/>
        <v>1719</v>
      </c>
      <c r="J20" s="601">
        <f t="shared" si="10"/>
        <v>919.5</v>
      </c>
      <c r="K20" s="601">
        <f t="shared" si="10"/>
        <v>799.5</v>
      </c>
      <c r="L20" s="604">
        <f t="shared" si="10"/>
        <v>3102</v>
      </c>
      <c r="M20" s="605">
        <f t="shared" si="10"/>
        <v>79101</v>
      </c>
      <c r="N20" s="605">
        <f t="shared" si="10"/>
        <v>380354</v>
      </c>
      <c r="O20" s="1311">
        <f>SUM(O3:P18)</f>
        <v>35924</v>
      </c>
      <c r="P20" s="1312"/>
      <c r="Q20" s="606">
        <f t="shared" ref="Q20:S20" si="11">SUM(Q3:Q18)</f>
        <v>481325</v>
      </c>
      <c r="R20" s="606">
        <f t="shared" si="11"/>
        <v>481494</v>
      </c>
      <c r="S20" s="606">
        <f t="shared" si="11"/>
        <v>169</v>
      </c>
      <c r="T20" s="607"/>
      <c r="U20" s="608"/>
      <c r="V20" s="608"/>
      <c r="W20" s="608"/>
      <c r="X20" s="608"/>
      <c r="Y20" s="608"/>
      <c r="Z20" s="608"/>
      <c r="AA20" s="609"/>
      <c r="AB20" s="609"/>
      <c r="AC20" s="609"/>
      <c r="AD20" s="609"/>
      <c r="AE20" s="609"/>
      <c r="AF20" s="608"/>
      <c r="AG20" s="608"/>
      <c r="AH20" s="608"/>
      <c r="AI20" s="608"/>
    </row>
    <row r="21" spans="1:35" ht="15.75" customHeight="1" x14ac:dyDescent="0.25">
      <c r="A21" s="30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</row>
    <row r="22" spans="1:35" ht="15.75" customHeight="1" x14ac:dyDescent="0.25">
      <c r="A22" s="30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</row>
    <row r="23" spans="1:35" ht="15.75" customHeight="1" x14ac:dyDescent="0.25">
      <c r="A23" s="30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</row>
    <row r="24" spans="1:35" ht="15.75" customHeight="1" x14ac:dyDescent="0.25">
      <c r="A24" s="30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</row>
    <row r="25" spans="1:35" ht="15.75" customHeight="1" x14ac:dyDescent="0.25">
      <c r="A25" s="30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</row>
    <row r="26" spans="1:35" ht="15.75" customHeight="1" x14ac:dyDescent="0.25">
      <c r="A26" s="30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</row>
    <row r="27" spans="1:35" ht="15.75" customHeight="1" x14ac:dyDescent="0.25">
      <c r="A27" s="30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</row>
    <row r="28" spans="1:35" ht="15.75" customHeight="1" x14ac:dyDescent="0.25">
      <c r="A28" s="30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</row>
    <row r="29" spans="1:35" ht="15.75" customHeight="1" x14ac:dyDescent="0.25">
      <c r="A29" s="30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</row>
    <row r="30" spans="1:35" ht="15.75" customHeight="1" x14ac:dyDescent="0.25">
      <c r="A30" s="30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</row>
    <row r="31" spans="1:35" ht="15.75" customHeight="1" x14ac:dyDescent="0.25"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</row>
    <row r="32" spans="1:35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</sheetData>
  <mergeCells count="11">
    <mergeCell ref="D1:H1"/>
    <mergeCell ref="I1:K1"/>
    <mergeCell ref="B1:C1"/>
    <mergeCell ref="L1:T1"/>
    <mergeCell ref="Q19:T19"/>
    <mergeCell ref="W13:X13"/>
    <mergeCell ref="O20:P20"/>
    <mergeCell ref="L2:M2"/>
    <mergeCell ref="D19:H19"/>
    <mergeCell ref="I19:K19"/>
    <mergeCell ref="L19:O19"/>
  </mergeCells>
  <pageMargins left="0.7" right="0.7" top="0.75" bottom="0.75" header="0" footer="0"/>
  <pageSetup orientation="landscape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97D922-1F9F-C745-833E-BD7089AFB9FA}">
  <dimension ref="A1:AI100"/>
  <sheetViews>
    <sheetView workbookViewId="0">
      <selection activeCell="I10" sqref="I10"/>
    </sheetView>
  </sheetViews>
  <sheetFormatPr defaultColWidth="14.42578125" defaultRowHeight="15" customHeight="1" x14ac:dyDescent="0.25"/>
  <cols>
    <col min="1" max="1" width="6.140625" customWidth="1"/>
    <col min="2" max="4" width="6.85546875" customWidth="1"/>
    <col min="5" max="6" width="7.42578125" customWidth="1"/>
    <col min="7" max="7" width="7.140625" customWidth="1"/>
    <col min="8" max="8" width="9.140625" customWidth="1"/>
    <col min="9" max="9" width="10" customWidth="1"/>
    <col min="10" max="10" width="9.140625" customWidth="1"/>
    <col min="11" max="11" width="6.85546875" customWidth="1"/>
    <col min="12" max="14" width="10" customWidth="1"/>
    <col min="15" max="15" width="6.42578125" customWidth="1"/>
    <col min="16" max="16" width="7.140625" customWidth="1"/>
    <col min="17" max="18" width="10.5703125" customWidth="1"/>
    <col min="19" max="19" width="8.85546875" customWidth="1"/>
    <col min="20" max="20" width="7.42578125" customWidth="1"/>
    <col min="21" max="35" width="8.7109375" customWidth="1"/>
  </cols>
  <sheetData>
    <row r="1" spans="1:30" ht="19.5" thickBot="1" x14ac:dyDescent="0.3">
      <c r="A1" s="552">
        <v>2021</v>
      </c>
      <c r="B1" s="1318" t="s">
        <v>233</v>
      </c>
      <c r="C1" s="1264"/>
      <c r="D1" s="1318" t="s">
        <v>235</v>
      </c>
      <c r="E1" s="1319"/>
      <c r="F1" s="1320"/>
      <c r="G1" s="1321" t="s">
        <v>236</v>
      </c>
      <c r="H1" s="1315"/>
      <c r="I1" s="1315"/>
      <c r="J1" s="1315"/>
      <c r="K1" s="1315"/>
      <c r="L1" s="1315"/>
      <c r="M1" s="1315"/>
      <c r="N1" s="1315"/>
      <c r="O1" s="1258"/>
    </row>
    <row r="2" spans="1:30" ht="15.75" thickBot="1" x14ac:dyDescent="0.3">
      <c r="A2" s="553" t="s">
        <v>237</v>
      </c>
      <c r="B2" s="553" t="s">
        <v>80</v>
      </c>
      <c r="C2" s="554" t="s">
        <v>238</v>
      </c>
      <c r="D2" s="553" t="s">
        <v>235</v>
      </c>
      <c r="E2" s="554" t="s">
        <v>19</v>
      </c>
      <c r="F2" s="554" t="s">
        <v>231</v>
      </c>
      <c r="G2" s="1313" t="s">
        <v>243</v>
      </c>
      <c r="H2" s="1312"/>
      <c r="I2" s="554" t="s">
        <v>244</v>
      </c>
      <c r="J2" s="554" t="s">
        <v>245</v>
      </c>
      <c r="K2" s="554" t="s">
        <v>246</v>
      </c>
      <c r="L2" s="554" t="s">
        <v>247</v>
      </c>
      <c r="M2" s="554" t="s">
        <v>248</v>
      </c>
      <c r="N2" s="554" t="s">
        <v>232</v>
      </c>
      <c r="O2" s="556" t="s">
        <v>420</v>
      </c>
      <c r="P2" s="30"/>
      <c r="Q2" s="30"/>
      <c r="R2" s="30"/>
      <c r="S2" s="30"/>
      <c r="T2" s="30"/>
      <c r="U2" s="30"/>
      <c r="V2" s="557"/>
      <c r="W2" s="557"/>
      <c r="X2" s="557"/>
      <c r="Y2" s="557"/>
      <c r="Z2" s="557"/>
      <c r="AA2" s="30"/>
      <c r="AB2" s="30"/>
      <c r="AC2" s="30"/>
      <c r="AD2" s="30"/>
    </row>
    <row r="3" spans="1:30" x14ac:dyDescent="0.25">
      <c r="A3" s="558">
        <v>1</v>
      </c>
      <c r="B3" s="559">
        <v>44201</v>
      </c>
      <c r="C3" s="560">
        <v>44226</v>
      </c>
      <c r="D3" s="563">
        <f t="shared" ref="D3:D11" si="0">E3+F3</f>
        <v>208</v>
      </c>
      <c r="E3" s="564">
        <v>203</v>
      </c>
      <c r="F3" s="564">
        <v>5</v>
      </c>
      <c r="G3" s="565">
        <v>400</v>
      </c>
      <c r="H3" s="566">
        <f>G3*26.02</f>
        <v>10408</v>
      </c>
      <c r="I3" s="566">
        <v>47293</v>
      </c>
      <c r="J3" s="567">
        <v>0</v>
      </c>
      <c r="K3" s="566">
        <v>0</v>
      </c>
      <c r="L3" s="566">
        <f t="shared" ref="L3:L4" si="1">H3+I3+J3</f>
        <v>57701</v>
      </c>
      <c r="M3" s="566">
        <f>(E3*360)+(F3*380)</f>
        <v>74980</v>
      </c>
      <c r="N3" s="568">
        <f t="shared" ref="N3" si="2">-L3+M3</f>
        <v>17279</v>
      </c>
      <c r="O3" s="569">
        <v>68859</v>
      </c>
      <c r="P3" s="30"/>
      <c r="Q3" s="30" t="s">
        <v>250</v>
      </c>
      <c r="R3" s="30" t="s">
        <v>251</v>
      </c>
      <c r="S3" s="30" t="s">
        <v>252</v>
      </c>
      <c r="T3" s="30" t="s">
        <v>253</v>
      </c>
      <c r="U3" s="30"/>
      <c r="V3" s="557"/>
      <c r="W3" s="557"/>
      <c r="X3" s="557"/>
      <c r="Y3" s="557"/>
      <c r="Z3" s="557"/>
      <c r="AA3" s="30"/>
      <c r="AB3" s="30"/>
      <c r="AC3" s="30"/>
      <c r="AD3" s="30"/>
    </row>
    <row r="4" spans="1:30" x14ac:dyDescent="0.25">
      <c r="A4" s="570">
        <v>2</v>
      </c>
      <c r="B4" s="571">
        <v>44228</v>
      </c>
      <c r="C4" s="572">
        <v>44240</v>
      </c>
      <c r="D4" s="575">
        <f t="shared" si="0"/>
        <v>136.5</v>
      </c>
      <c r="E4" s="576">
        <v>136.5</v>
      </c>
      <c r="F4" s="576">
        <v>0</v>
      </c>
      <c r="G4" s="577">
        <v>271</v>
      </c>
      <c r="H4" s="578">
        <f>G4*26.19</f>
        <v>7097.4900000000007</v>
      </c>
      <c r="I4" s="578">
        <v>27021</v>
      </c>
      <c r="J4" s="578">
        <v>30000</v>
      </c>
      <c r="K4" s="578">
        <v>346</v>
      </c>
      <c r="L4" s="578">
        <f t="shared" si="1"/>
        <v>64118.49</v>
      </c>
      <c r="M4" s="578">
        <f>(E4*360)+(F4*380)</f>
        <v>49140</v>
      </c>
      <c r="N4" s="579">
        <f t="shared" ref="N4:N10" si="3">-L4+M4+O3</f>
        <v>53880.51</v>
      </c>
      <c r="O4" s="580">
        <v>48649</v>
      </c>
      <c r="P4" s="30">
        <v>1</v>
      </c>
      <c r="Q4" s="30">
        <v>83000</v>
      </c>
      <c r="R4" s="30">
        <v>478</v>
      </c>
      <c r="S4" s="30">
        <v>198</v>
      </c>
      <c r="T4" s="30">
        <v>143</v>
      </c>
      <c r="U4" s="30"/>
      <c r="V4" s="557"/>
      <c r="W4" s="557"/>
      <c r="X4" s="557"/>
      <c r="Y4" s="557"/>
      <c r="Z4" s="557"/>
      <c r="AA4" s="30"/>
      <c r="AB4" s="30"/>
      <c r="AC4" s="30"/>
      <c r="AD4" s="30"/>
    </row>
    <row r="5" spans="1:30" x14ac:dyDescent="0.25">
      <c r="A5" s="581">
        <v>3</v>
      </c>
      <c r="B5" s="582"/>
      <c r="C5" s="583"/>
      <c r="D5" s="586">
        <f t="shared" si="0"/>
        <v>0</v>
      </c>
      <c r="E5" s="587">
        <v>0</v>
      </c>
      <c r="F5" s="587">
        <v>0</v>
      </c>
      <c r="G5" s="588">
        <v>0</v>
      </c>
      <c r="H5" s="589">
        <f t="shared" ref="H5:H10" si="4">G5*25.5</f>
        <v>0</v>
      </c>
      <c r="I5" s="589">
        <v>0</v>
      </c>
      <c r="J5" s="589"/>
      <c r="K5" s="589"/>
      <c r="L5" s="589"/>
      <c r="M5" s="589">
        <f t="shared" ref="M5:M7" si="5">(E5*260)+(F5*280)</f>
        <v>0</v>
      </c>
      <c r="N5" s="590">
        <f t="shared" si="3"/>
        <v>48649</v>
      </c>
      <c r="O5" s="591"/>
      <c r="P5" s="30">
        <v>2</v>
      </c>
      <c r="Q5" s="30">
        <v>35000</v>
      </c>
      <c r="R5" s="30">
        <v>837</v>
      </c>
      <c r="S5" s="30"/>
      <c r="T5" s="30" t="s">
        <v>254</v>
      </c>
      <c r="U5" s="30" t="s">
        <v>255</v>
      </c>
      <c r="V5" s="557"/>
      <c r="W5" s="557"/>
      <c r="X5" s="557"/>
      <c r="Y5" s="557"/>
      <c r="Z5" s="557"/>
      <c r="AA5" s="30"/>
      <c r="AB5" s="30"/>
      <c r="AC5" s="30"/>
      <c r="AD5" s="30"/>
    </row>
    <row r="6" spans="1:30" x14ac:dyDescent="0.25">
      <c r="A6" s="570">
        <v>4</v>
      </c>
      <c r="B6" s="571"/>
      <c r="C6" s="572"/>
      <c r="D6" s="575">
        <f t="shared" si="0"/>
        <v>0</v>
      </c>
      <c r="E6" s="576">
        <v>0</v>
      </c>
      <c r="F6" s="576">
        <v>0</v>
      </c>
      <c r="G6" s="577">
        <v>0</v>
      </c>
      <c r="H6" s="578">
        <f t="shared" si="4"/>
        <v>0</v>
      </c>
      <c r="I6" s="578">
        <v>0</v>
      </c>
      <c r="J6" s="578"/>
      <c r="K6" s="578"/>
      <c r="L6" s="578"/>
      <c r="M6" s="578">
        <f t="shared" si="5"/>
        <v>0</v>
      </c>
      <c r="N6" s="579">
        <f t="shared" si="3"/>
        <v>0</v>
      </c>
      <c r="O6" s="592"/>
      <c r="P6" s="30">
        <v>3</v>
      </c>
      <c r="Q6" s="30">
        <v>50000</v>
      </c>
      <c r="R6" s="30">
        <v>542</v>
      </c>
      <c r="S6" s="30">
        <v>147</v>
      </c>
      <c r="T6" s="30">
        <v>132</v>
      </c>
      <c r="U6" s="551" t="s">
        <v>256</v>
      </c>
      <c r="V6" s="557"/>
      <c r="W6" s="557"/>
      <c r="X6" s="557"/>
      <c r="Y6" s="557"/>
      <c r="Z6" s="557"/>
      <c r="AA6" s="30"/>
      <c r="AB6" s="30"/>
      <c r="AC6" s="30"/>
      <c r="AD6" s="30"/>
    </row>
    <row r="7" spans="1:30" x14ac:dyDescent="0.25">
      <c r="A7" s="581">
        <v>5</v>
      </c>
      <c r="B7" s="582"/>
      <c r="C7" s="583"/>
      <c r="D7" s="586">
        <f t="shared" si="0"/>
        <v>0</v>
      </c>
      <c r="E7" s="587">
        <v>0</v>
      </c>
      <c r="F7" s="587">
        <v>0</v>
      </c>
      <c r="G7" s="588">
        <v>0</v>
      </c>
      <c r="H7" s="589">
        <f t="shared" si="4"/>
        <v>0</v>
      </c>
      <c r="I7" s="589">
        <v>0</v>
      </c>
      <c r="J7" s="589"/>
      <c r="K7" s="589"/>
      <c r="L7" s="589"/>
      <c r="M7" s="589">
        <f t="shared" si="5"/>
        <v>0</v>
      </c>
      <c r="N7" s="590">
        <f t="shared" si="3"/>
        <v>0</v>
      </c>
      <c r="O7" s="591"/>
      <c r="P7" s="30">
        <v>4</v>
      </c>
      <c r="Q7" s="30">
        <v>75000</v>
      </c>
      <c r="R7" s="30">
        <v>355</v>
      </c>
      <c r="S7" s="30"/>
      <c r="T7" s="30" t="s">
        <v>257</v>
      </c>
      <c r="U7" s="551" t="s">
        <v>258</v>
      </c>
      <c r="V7" s="557"/>
      <c r="W7" s="557"/>
      <c r="X7" s="557"/>
      <c r="Y7" s="557"/>
      <c r="Z7" s="557"/>
      <c r="AA7" s="30"/>
      <c r="AB7" s="30"/>
      <c r="AC7" s="30"/>
      <c r="AD7" s="30"/>
    </row>
    <row r="8" spans="1:30" x14ac:dyDescent="0.25">
      <c r="A8" s="570">
        <v>6</v>
      </c>
      <c r="B8" s="571"/>
      <c r="C8" s="572"/>
      <c r="D8" s="575">
        <f t="shared" si="0"/>
        <v>0</v>
      </c>
      <c r="E8" s="576">
        <v>0</v>
      </c>
      <c r="F8" s="576">
        <v>0</v>
      </c>
      <c r="G8" s="577">
        <v>0</v>
      </c>
      <c r="H8" s="578">
        <f t="shared" si="4"/>
        <v>0</v>
      </c>
      <c r="I8" s="578">
        <v>0</v>
      </c>
      <c r="J8" s="578"/>
      <c r="K8" s="578"/>
      <c r="L8" s="578"/>
      <c r="M8" s="578">
        <f>(E8*270)+(F8*290)+J8</f>
        <v>0</v>
      </c>
      <c r="N8" s="579">
        <f t="shared" si="3"/>
        <v>0</v>
      </c>
      <c r="O8" s="592"/>
      <c r="P8" s="30">
        <v>5</v>
      </c>
      <c r="Q8" s="30">
        <v>25000</v>
      </c>
      <c r="R8" s="30">
        <v>295</v>
      </c>
      <c r="S8" s="30">
        <v>133</v>
      </c>
      <c r="T8" s="30"/>
      <c r="U8" s="30"/>
      <c r="V8" s="557"/>
      <c r="W8" s="557"/>
      <c r="X8" s="557"/>
      <c r="Y8" s="557"/>
      <c r="Z8" s="557"/>
      <c r="AA8" s="30"/>
      <c r="AB8" s="30"/>
      <c r="AC8" s="30"/>
      <c r="AD8" s="30"/>
    </row>
    <row r="9" spans="1:30" x14ac:dyDescent="0.25">
      <c r="A9" s="581">
        <v>7</v>
      </c>
      <c r="B9" s="582"/>
      <c r="C9" s="583"/>
      <c r="D9" s="586">
        <f t="shared" si="0"/>
        <v>0</v>
      </c>
      <c r="E9" s="587">
        <v>0</v>
      </c>
      <c r="F9" s="587">
        <v>0</v>
      </c>
      <c r="G9" s="588">
        <v>0</v>
      </c>
      <c r="H9" s="589">
        <f t="shared" si="4"/>
        <v>0</v>
      </c>
      <c r="I9" s="589">
        <v>0</v>
      </c>
      <c r="J9" s="589"/>
      <c r="K9" s="589"/>
      <c r="L9" s="589"/>
      <c r="M9" s="589">
        <f t="shared" ref="M9:M10" si="6">(E9*270)+(F9*290)</f>
        <v>0</v>
      </c>
      <c r="N9" s="590">
        <f t="shared" si="3"/>
        <v>0</v>
      </c>
      <c r="O9" s="591"/>
      <c r="P9" s="30">
        <v>6</v>
      </c>
      <c r="Q9" s="30">
        <v>62612</v>
      </c>
      <c r="R9" s="30">
        <v>400</v>
      </c>
      <c r="S9" s="30">
        <v>206</v>
      </c>
      <c r="T9" s="30">
        <v>9.5</v>
      </c>
      <c r="U9" s="30"/>
      <c r="V9" s="557"/>
      <c r="W9" s="557"/>
      <c r="X9" s="557"/>
      <c r="Y9" s="557"/>
      <c r="Z9" s="557"/>
      <c r="AA9" s="30"/>
      <c r="AB9" s="30"/>
      <c r="AC9" s="30"/>
      <c r="AD9" s="30"/>
    </row>
    <row r="10" spans="1:30" x14ac:dyDescent="0.25">
      <c r="A10" s="570">
        <v>8</v>
      </c>
      <c r="B10" s="571"/>
      <c r="C10" s="572"/>
      <c r="D10" s="575">
        <f t="shared" si="0"/>
        <v>0</v>
      </c>
      <c r="E10" s="576"/>
      <c r="F10" s="576"/>
      <c r="G10" s="577"/>
      <c r="H10" s="578">
        <f t="shared" si="4"/>
        <v>0</v>
      </c>
      <c r="I10" s="578"/>
      <c r="J10" s="578"/>
      <c r="K10" s="578"/>
      <c r="L10" s="578"/>
      <c r="M10" s="578">
        <f t="shared" si="6"/>
        <v>0</v>
      </c>
      <c r="N10" s="579">
        <f t="shared" si="3"/>
        <v>0</v>
      </c>
      <c r="O10" s="592"/>
      <c r="P10" s="30">
        <v>7</v>
      </c>
      <c r="Q10" s="30"/>
      <c r="R10" s="30"/>
      <c r="S10" s="30"/>
      <c r="T10" s="30"/>
      <c r="U10" s="30"/>
      <c r="V10" s="557"/>
      <c r="W10" s="557"/>
      <c r="X10" s="557"/>
      <c r="Y10" s="557"/>
      <c r="Z10" s="557"/>
      <c r="AA10" s="30"/>
      <c r="AB10" s="30"/>
      <c r="AC10" s="30"/>
      <c r="AD10" s="30"/>
    </row>
    <row r="11" spans="1:30" x14ac:dyDescent="0.25">
      <c r="A11" s="581"/>
      <c r="B11" s="582"/>
      <c r="C11" s="583"/>
      <c r="D11" s="586">
        <f t="shared" si="0"/>
        <v>0</v>
      </c>
      <c r="E11" s="587"/>
      <c r="F11" s="587"/>
      <c r="G11" s="588"/>
      <c r="H11" s="589"/>
      <c r="I11" s="589"/>
      <c r="J11" s="589"/>
      <c r="K11" s="589"/>
      <c r="L11" s="589"/>
      <c r="M11" s="589"/>
      <c r="N11" s="590"/>
      <c r="O11" s="591"/>
      <c r="P11" s="30">
        <v>8</v>
      </c>
      <c r="Q11" s="30"/>
      <c r="R11" s="30"/>
      <c r="S11" s="30"/>
      <c r="T11" s="30"/>
      <c r="U11" s="30"/>
      <c r="V11" s="557"/>
      <c r="W11" s="557"/>
      <c r="X11" s="557"/>
      <c r="Y11" s="557"/>
      <c r="Z11" s="557"/>
      <c r="AA11" s="30"/>
      <c r="AB11" s="30"/>
      <c r="AC11" s="30"/>
      <c r="AD11" s="30"/>
    </row>
    <row r="12" spans="1:30" x14ac:dyDescent="0.25">
      <c r="A12" s="570"/>
      <c r="B12" s="571"/>
      <c r="C12" s="572"/>
      <c r="D12" s="575"/>
      <c r="E12" s="576"/>
      <c r="F12" s="576"/>
      <c r="G12" s="577"/>
      <c r="H12" s="578"/>
      <c r="I12" s="578"/>
      <c r="J12" s="578"/>
      <c r="K12" s="578"/>
      <c r="L12" s="578"/>
      <c r="M12" s="578"/>
      <c r="N12" s="579"/>
      <c r="O12" s="592"/>
      <c r="P12" s="30"/>
      <c r="Q12" s="30">
        <v>14054</v>
      </c>
      <c r="R12" s="30"/>
      <c r="S12" s="30"/>
      <c r="T12" s="30"/>
      <c r="U12" s="30"/>
      <c r="V12" s="557"/>
      <c r="W12" s="557"/>
      <c r="X12" s="557"/>
      <c r="Y12" s="557"/>
      <c r="Z12" s="557"/>
      <c r="AA12" s="30"/>
      <c r="AB12" s="30"/>
      <c r="AC12" s="30"/>
      <c r="AD12" s="30"/>
    </row>
    <row r="13" spans="1:30" x14ac:dyDescent="0.25">
      <c r="A13" s="581"/>
      <c r="B13" s="582"/>
      <c r="C13" s="583"/>
      <c r="D13" s="586"/>
      <c r="E13" s="587"/>
      <c r="F13" s="587"/>
      <c r="G13" s="588"/>
      <c r="H13" s="589"/>
      <c r="I13" s="589"/>
      <c r="J13" s="589"/>
      <c r="K13" s="589"/>
      <c r="L13" s="589"/>
      <c r="M13" s="589"/>
      <c r="N13" s="590"/>
      <c r="O13" s="591"/>
      <c r="P13" s="30"/>
      <c r="Q13" s="30"/>
      <c r="R13" s="1294" t="s">
        <v>259</v>
      </c>
      <c r="S13" s="1310"/>
      <c r="T13" s="30"/>
      <c r="U13" s="30"/>
      <c r="V13" s="557"/>
      <c r="W13" s="557"/>
      <c r="X13" s="557"/>
      <c r="Y13" s="557"/>
      <c r="Z13" s="557"/>
      <c r="AA13" s="30"/>
      <c r="AB13" s="30"/>
      <c r="AC13" s="30"/>
      <c r="AD13" s="30"/>
    </row>
    <row r="14" spans="1:30" x14ac:dyDescent="0.25">
      <c r="A14" s="570"/>
      <c r="B14" s="571"/>
      <c r="C14" s="572"/>
      <c r="D14" s="575"/>
      <c r="E14" s="576"/>
      <c r="F14" s="576"/>
      <c r="G14" s="577"/>
      <c r="H14" s="578"/>
      <c r="I14" s="578"/>
      <c r="J14" s="578"/>
      <c r="K14" s="578"/>
      <c r="L14" s="578"/>
      <c r="M14" s="578"/>
      <c r="N14" s="579"/>
      <c r="O14" s="592"/>
      <c r="P14" s="30"/>
      <c r="Q14" s="30"/>
      <c r="R14" s="30">
        <v>150</v>
      </c>
      <c r="S14" s="30">
        <f>R14*25.5</f>
        <v>3825</v>
      </c>
      <c r="T14" s="30"/>
      <c r="U14" s="30"/>
      <c r="V14" s="557"/>
      <c r="W14" s="557"/>
      <c r="X14" s="557"/>
      <c r="Y14" s="557"/>
      <c r="Z14" s="557"/>
      <c r="AA14" s="30"/>
      <c r="AB14" s="30"/>
      <c r="AC14" s="30"/>
      <c r="AD14" s="30"/>
    </row>
    <row r="15" spans="1:30" x14ac:dyDescent="0.25">
      <c r="A15" s="581"/>
      <c r="B15" s="582"/>
      <c r="C15" s="583"/>
      <c r="D15" s="586"/>
      <c r="E15" s="587"/>
      <c r="F15" s="587"/>
      <c r="G15" s="588"/>
      <c r="H15" s="589"/>
      <c r="I15" s="589"/>
      <c r="J15" s="589"/>
      <c r="K15" s="589"/>
      <c r="L15" s="589"/>
      <c r="M15" s="589"/>
      <c r="N15" s="590"/>
      <c r="O15" s="591"/>
      <c r="P15" s="30"/>
      <c r="Q15" s="30"/>
      <c r="R15" s="30"/>
      <c r="S15" s="30"/>
      <c r="T15" s="30"/>
      <c r="U15" s="30"/>
      <c r="V15" s="557"/>
      <c r="W15" s="557"/>
      <c r="X15" s="557"/>
      <c r="Y15" s="557"/>
      <c r="Z15" s="557"/>
      <c r="AA15" s="30"/>
      <c r="AB15" s="30"/>
      <c r="AC15" s="30"/>
      <c r="AD15" s="30"/>
    </row>
    <row r="16" spans="1:30" x14ac:dyDescent="0.25">
      <c r="A16" s="570"/>
      <c r="B16" s="571"/>
      <c r="C16" s="572"/>
      <c r="D16" s="575"/>
      <c r="E16" s="576"/>
      <c r="F16" s="576"/>
      <c r="G16" s="577"/>
      <c r="H16" s="578"/>
      <c r="I16" s="578"/>
      <c r="J16" s="578"/>
      <c r="K16" s="578"/>
      <c r="L16" s="578"/>
      <c r="M16" s="578"/>
      <c r="N16" s="579"/>
      <c r="O16" s="592"/>
      <c r="P16" s="30"/>
      <c r="Q16" s="30"/>
      <c r="R16" s="30"/>
      <c r="S16" s="30"/>
      <c r="T16" s="30"/>
      <c r="U16" s="30"/>
      <c r="V16" s="557"/>
      <c r="W16" s="557"/>
      <c r="X16" s="557"/>
      <c r="Y16" s="557"/>
      <c r="Z16" s="557"/>
      <c r="AA16" s="30"/>
      <c r="AB16" s="30"/>
      <c r="AC16" s="30"/>
      <c r="AD16" s="30"/>
    </row>
    <row r="17" spans="1:35" x14ac:dyDescent="0.25">
      <c r="A17" s="581"/>
      <c r="B17" s="582"/>
      <c r="C17" s="583"/>
      <c r="D17" s="586"/>
      <c r="E17" s="587"/>
      <c r="F17" s="587"/>
      <c r="G17" s="588"/>
      <c r="H17" s="589"/>
      <c r="I17" s="589"/>
      <c r="J17" s="589"/>
      <c r="K17" s="589"/>
      <c r="L17" s="589"/>
      <c r="M17" s="589"/>
      <c r="N17" s="590"/>
      <c r="O17" s="591"/>
      <c r="P17" s="30"/>
      <c r="Q17" s="30"/>
      <c r="R17" s="30"/>
      <c r="S17" s="30"/>
      <c r="T17" s="30"/>
      <c r="U17" s="30"/>
      <c r="V17" s="557"/>
      <c r="W17" s="557"/>
      <c r="X17" s="557"/>
      <c r="Y17" s="557"/>
      <c r="Z17" s="557"/>
      <c r="AA17" s="30"/>
      <c r="AB17" s="30"/>
      <c r="AC17" s="30"/>
      <c r="AD17" s="30"/>
    </row>
    <row r="18" spans="1:35" ht="15.75" thickBot="1" x14ac:dyDescent="0.3">
      <c r="A18" s="570"/>
      <c r="B18" s="571"/>
      <c r="C18" s="572"/>
      <c r="D18" s="575"/>
      <c r="E18" s="576"/>
      <c r="F18" s="576"/>
      <c r="G18" s="577"/>
      <c r="H18" s="578"/>
      <c r="I18" s="578"/>
      <c r="J18" s="578"/>
      <c r="K18" s="578"/>
      <c r="L18" s="578"/>
      <c r="M18" s="578"/>
      <c r="N18" s="579"/>
      <c r="O18" s="593"/>
      <c r="P18" s="30"/>
      <c r="Q18" s="30"/>
      <c r="R18" s="30"/>
      <c r="S18" s="30"/>
      <c r="T18" s="30"/>
      <c r="U18" s="30"/>
      <c r="V18" s="557"/>
      <c r="W18" s="557"/>
      <c r="X18" s="557"/>
      <c r="Y18" s="557"/>
      <c r="Z18" s="557"/>
      <c r="AA18" s="30"/>
      <c r="AB18" s="30"/>
      <c r="AC18" s="30"/>
      <c r="AD18" s="30"/>
    </row>
    <row r="19" spans="1:35" ht="15.75" thickBot="1" x14ac:dyDescent="0.3">
      <c r="A19" s="594"/>
      <c r="B19" s="595"/>
      <c r="C19" s="595"/>
      <c r="D19" s="1314" t="s">
        <v>261</v>
      </c>
      <c r="E19" s="1315"/>
      <c r="F19" s="1316"/>
      <c r="G19" s="1314" t="s">
        <v>262</v>
      </c>
      <c r="H19" s="1315"/>
      <c r="I19" s="1315"/>
      <c r="J19" s="1317"/>
      <c r="K19" s="596"/>
      <c r="L19" s="1322" t="s">
        <v>262</v>
      </c>
      <c r="M19" s="1319"/>
      <c r="N19" s="1319"/>
      <c r="O19" s="1264"/>
      <c r="P19" s="30"/>
      <c r="Q19" s="30"/>
      <c r="R19" s="30"/>
      <c r="S19" s="30"/>
      <c r="T19" s="30"/>
      <c r="U19" s="30"/>
      <c r="V19" s="557"/>
      <c r="W19" s="557"/>
      <c r="X19" s="557"/>
      <c r="Y19" s="557"/>
      <c r="Z19" s="557"/>
      <c r="AA19" s="30"/>
      <c r="AB19" s="30"/>
      <c r="AC19" s="30"/>
      <c r="AD19" s="30"/>
    </row>
    <row r="20" spans="1:35" ht="15.75" thickBot="1" x14ac:dyDescent="0.3">
      <c r="A20" s="597"/>
      <c r="B20" s="598"/>
      <c r="C20" s="598"/>
      <c r="D20" s="603">
        <f t="shared" ref="D20:I20" si="7">SUM(D3:D18)</f>
        <v>344.5</v>
      </c>
      <c r="E20" s="601">
        <f t="shared" si="7"/>
        <v>339.5</v>
      </c>
      <c r="F20" s="601">
        <f t="shared" si="7"/>
        <v>5</v>
      </c>
      <c r="G20" s="604">
        <f t="shared" si="7"/>
        <v>671</v>
      </c>
      <c r="H20" s="605">
        <f t="shared" si="7"/>
        <v>17505.490000000002</v>
      </c>
      <c r="I20" s="605">
        <f t="shared" si="7"/>
        <v>74314</v>
      </c>
      <c r="J20" s="1311">
        <f>SUM(J3:K18)</f>
        <v>30346</v>
      </c>
      <c r="K20" s="1312"/>
      <c r="L20" s="606">
        <f t="shared" ref="L20:N20" si="8">SUM(L3:L18)</f>
        <v>121819.48999999999</v>
      </c>
      <c r="M20" s="606">
        <f t="shared" si="8"/>
        <v>124120</v>
      </c>
      <c r="N20" s="606">
        <f t="shared" si="8"/>
        <v>119808.51000000001</v>
      </c>
      <c r="O20" s="607"/>
      <c r="P20" s="608"/>
      <c r="Q20" s="608"/>
      <c r="R20" s="608"/>
      <c r="S20" s="608"/>
      <c r="T20" s="608"/>
      <c r="U20" s="608"/>
      <c r="V20" s="609"/>
      <c r="W20" s="609"/>
      <c r="X20" s="609"/>
      <c r="Y20" s="609"/>
      <c r="Z20" s="609"/>
      <c r="AA20" s="608"/>
      <c r="AB20" s="608"/>
      <c r="AC20" s="608"/>
      <c r="AD20" s="608"/>
    </row>
    <row r="21" spans="1:35" ht="15.75" customHeight="1" x14ac:dyDescent="0.25">
      <c r="A21" s="30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</row>
    <row r="22" spans="1:35" ht="15.75" customHeight="1" x14ac:dyDescent="0.25">
      <c r="A22" s="30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</row>
    <row r="23" spans="1:35" ht="15.75" customHeight="1" x14ac:dyDescent="0.25">
      <c r="A23" s="30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</row>
    <row r="24" spans="1:35" ht="15.75" customHeight="1" x14ac:dyDescent="0.25">
      <c r="A24" s="30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</row>
    <row r="25" spans="1:35" ht="15.75" customHeight="1" x14ac:dyDescent="0.25">
      <c r="A25" s="30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</row>
    <row r="26" spans="1:35" ht="15.75" customHeight="1" x14ac:dyDescent="0.25">
      <c r="A26" s="30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</row>
    <row r="27" spans="1:35" ht="15.75" customHeight="1" x14ac:dyDescent="0.25">
      <c r="A27" s="30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</row>
    <row r="28" spans="1:35" ht="15.75" customHeight="1" x14ac:dyDescent="0.25">
      <c r="A28" s="30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</row>
    <row r="29" spans="1:35" ht="15.75" customHeight="1" x14ac:dyDescent="0.25">
      <c r="A29" s="30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</row>
    <row r="30" spans="1:35" ht="15.75" customHeight="1" x14ac:dyDescent="0.25">
      <c r="A30" s="30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</row>
    <row r="31" spans="1:35" ht="15.75" customHeight="1" x14ac:dyDescent="0.25"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</row>
    <row r="32" spans="1:35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</sheetData>
  <mergeCells count="9">
    <mergeCell ref="R13:S13"/>
    <mergeCell ref="D19:F19"/>
    <mergeCell ref="G19:J19"/>
    <mergeCell ref="L19:O19"/>
    <mergeCell ref="J20:K20"/>
    <mergeCell ref="B1:C1"/>
    <mergeCell ref="D1:F1"/>
    <mergeCell ref="G1:O1"/>
    <mergeCell ref="G2:H2"/>
  </mergeCells>
  <pageMargins left="0.7" right="0.7" top="0.75" bottom="0.75" header="0" footer="0"/>
  <pageSetup orientation="landscape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B2A1C7"/>
  </sheetPr>
  <dimension ref="A1:T100"/>
  <sheetViews>
    <sheetView topLeftCell="I1" workbookViewId="0"/>
  </sheetViews>
  <sheetFormatPr defaultColWidth="14.42578125" defaultRowHeight="15" customHeight="1" x14ac:dyDescent="0.25"/>
  <cols>
    <col min="1" max="1" width="13.140625" customWidth="1"/>
    <col min="2" max="2" width="8.42578125" customWidth="1"/>
    <col min="3" max="3" width="8" customWidth="1"/>
    <col min="4" max="4" width="8.5703125" customWidth="1"/>
    <col min="5" max="5" width="14.28515625" customWidth="1"/>
    <col min="6" max="6" width="12.7109375" customWidth="1"/>
    <col min="7" max="7" width="15.5703125" customWidth="1"/>
    <col min="8" max="8" width="12.28515625" customWidth="1"/>
    <col min="9" max="9" width="17.7109375" customWidth="1"/>
    <col min="10" max="10" width="15.42578125" customWidth="1"/>
    <col min="11" max="11" width="13.5703125" customWidth="1"/>
    <col min="12" max="12" width="11.42578125" customWidth="1"/>
    <col min="13" max="13" width="21.140625" customWidth="1"/>
    <col min="14" max="14" width="24.85546875" customWidth="1"/>
    <col min="15" max="15" width="21.140625" customWidth="1"/>
    <col min="16" max="16" width="21.7109375" customWidth="1"/>
    <col min="17" max="18" width="12.5703125" customWidth="1"/>
  </cols>
  <sheetData>
    <row r="1" spans="1:20" ht="18.75" x14ac:dyDescent="0.25">
      <c r="A1" s="1" t="s">
        <v>0</v>
      </c>
      <c r="B1" s="1" t="s">
        <v>1</v>
      </c>
      <c r="C1" s="1" t="s">
        <v>127</v>
      </c>
      <c r="D1" s="5" t="s">
        <v>128</v>
      </c>
      <c r="E1" s="2" t="s">
        <v>3</v>
      </c>
      <c r="F1" s="2" t="s">
        <v>4</v>
      </c>
      <c r="G1" s="2" t="s">
        <v>5</v>
      </c>
      <c r="H1" s="2" t="s">
        <v>6</v>
      </c>
      <c r="I1" s="2" t="s">
        <v>7</v>
      </c>
      <c r="J1" s="2" t="s">
        <v>5</v>
      </c>
      <c r="K1" s="362" t="s">
        <v>8</v>
      </c>
      <c r="L1" s="382" t="s">
        <v>129</v>
      </c>
      <c r="M1" s="4" t="s">
        <v>9</v>
      </c>
      <c r="N1" s="425" t="s">
        <v>155</v>
      </c>
      <c r="O1" s="5" t="s">
        <v>10</v>
      </c>
      <c r="P1" s="6" t="s">
        <v>11</v>
      </c>
      <c r="Q1" s="7" t="s">
        <v>12</v>
      </c>
      <c r="R1" s="7" t="s">
        <v>13</v>
      </c>
      <c r="S1" s="3" t="s">
        <v>14</v>
      </c>
    </row>
    <row r="2" spans="1:20" x14ac:dyDescent="0.25">
      <c r="A2" s="214">
        <v>43983</v>
      </c>
      <c r="B2" s="215" t="str">
        <f t="shared" ref="B2:B26" si="0">CHOOSE(WEEKDAY(T2),"Po","Út","St","Čt","Pá","So","Ne")</f>
        <v>Po</v>
      </c>
      <c r="C2" s="216">
        <v>0</v>
      </c>
      <c r="D2" s="216">
        <f t="shared" ref="D2:D32" si="1">L2*C2</f>
        <v>0</v>
      </c>
      <c r="E2" s="217" t="s">
        <v>156</v>
      </c>
      <c r="F2" s="218"/>
      <c r="G2" s="219"/>
      <c r="H2" s="220" t="s">
        <v>112</v>
      </c>
      <c r="I2" s="218" t="s">
        <v>140</v>
      </c>
      <c r="J2" s="221" t="s">
        <v>15</v>
      </c>
      <c r="K2" s="222" t="s">
        <v>16</v>
      </c>
      <c r="L2" s="394">
        <v>4</v>
      </c>
      <c r="M2" s="223">
        <f t="shared" ref="M2:N2" si="2">M4+M6</f>
        <v>153.5</v>
      </c>
      <c r="N2" s="223">
        <f t="shared" si="2"/>
        <v>140.5</v>
      </c>
      <c r="O2" s="8">
        <v>32106</v>
      </c>
      <c r="P2" s="9" t="s">
        <v>17</v>
      </c>
      <c r="Q2" s="10" t="s">
        <v>135</v>
      </c>
      <c r="R2" s="11">
        <v>43998</v>
      </c>
      <c r="S2" s="12">
        <f>R7*20</f>
        <v>0</v>
      </c>
      <c r="T2" s="13">
        <f t="shared" ref="T2:T26" si="3">WEEKDAY(A2,2)</f>
        <v>1</v>
      </c>
    </row>
    <row r="3" spans="1:20" x14ac:dyDescent="0.25">
      <c r="A3" s="214">
        <v>43984</v>
      </c>
      <c r="B3" s="225" t="str">
        <f t="shared" si="0"/>
        <v>Út</v>
      </c>
      <c r="C3" s="226">
        <v>5</v>
      </c>
      <c r="D3" s="216">
        <f t="shared" si="1"/>
        <v>20</v>
      </c>
      <c r="E3" s="227" t="s">
        <v>157</v>
      </c>
      <c r="F3" s="228"/>
      <c r="G3" s="229"/>
      <c r="H3" s="230" t="s">
        <v>112</v>
      </c>
      <c r="I3" s="228" t="s">
        <v>140</v>
      </c>
      <c r="J3" s="231" t="s">
        <v>15</v>
      </c>
      <c r="K3" s="232" t="s">
        <v>16</v>
      </c>
      <c r="L3" s="400">
        <v>4</v>
      </c>
      <c r="M3" s="15" t="s">
        <v>19</v>
      </c>
      <c r="N3" s="15" t="s">
        <v>19</v>
      </c>
      <c r="O3" s="17">
        <v>10000</v>
      </c>
      <c r="P3" s="18" t="s">
        <v>17</v>
      </c>
      <c r="Q3" s="19" t="s">
        <v>158</v>
      </c>
      <c r="R3" s="20">
        <v>43991</v>
      </c>
      <c r="T3" s="13">
        <f t="shared" si="3"/>
        <v>2</v>
      </c>
    </row>
    <row r="4" spans="1:20" x14ac:dyDescent="0.25">
      <c r="A4" s="214">
        <v>43985</v>
      </c>
      <c r="B4" s="234" t="str">
        <f t="shared" si="0"/>
        <v>St</v>
      </c>
      <c r="C4" s="235">
        <v>10.5</v>
      </c>
      <c r="D4" s="216">
        <f t="shared" si="1"/>
        <v>42</v>
      </c>
      <c r="E4" s="236" t="s">
        <v>18</v>
      </c>
      <c r="F4" s="237"/>
      <c r="G4" s="229"/>
      <c r="H4" s="239" t="s">
        <v>112</v>
      </c>
      <c r="I4" s="237" t="s">
        <v>140</v>
      </c>
      <c r="J4" s="240" t="s">
        <v>15</v>
      </c>
      <c r="K4" s="241" t="s">
        <v>16</v>
      </c>
      <c r="L4" s="406">
        <v>4</v>
      </c>
      <c r="M4" s="242">
        <f>SUM(C2:C32)</f>
        <v>153.5</v>
      </c>
      <c r="N4" s="242">
        <v>140.5</v>
      </c>
      <c r="O4" s="17"/>
      <c r="P4" s="18" t="s">
        <v>17</v>
      </c>
      <c r="Q4" s="19" t="s">
        <v>134</v>
      </c>
      <c r="R4" s="20"/>
      <c r="T4" s="13">
        <f t="shared" si="3"/>
        <v>3</v>
      </c>
    </row>
    <row r="5" spans="1:20" x14ac:dyDescent="0.25">
      <c r="A5" s="214">
        <v>43986</v>
      </c>
      <c r="B5" s="225" t="str">
        <f t="shared" si="0"/>
        <v>Čt</v>
      </c>
      <c r="C5" s="243">
        <v>10</v>
      </c>
      <c r="D5" s="216">
        <f t="shared" si="1"/>
        <v>40</v>
      </c>
      <c r="E5" s="227" t="s">
        <v>159</v>
      </c>
      <c r="F5" s="228"/>
      <c r="G5" s="229"/>
      <c r="H5" s="230" t="s">
        <v>112</v>
      </c>
      <c r="I5" s="228" t="s">
        <v>140</v>
      </c>
      <c r="J5" s="244" t="s">
        <v>15</v>
      </c>
      <c r="K5" s="232" t="s">
        <v>16</v>
      </c>
      <c r="L5" s="400">
        <v>4</v>
      </c>
      <c r="M5" s="15" t="s">
        <v>14</v>
      </c>
      <c r="N5" s="15" t="s">
        <v>14</v>
      </c>
      <c r="O5" s="23">
        <v>18199</v>
      </c>
      <c r="P5" s="24" t="s">
        <v>17</v>
      </c>
      <c r="Q5" s="25" t="s">
        <v>160</v>
      </c>
      <c r="R5" s="26">
        <v>44028</v>
      </c>
      <c r="S5" s="30"/>
      <c r="T5" s="13">
        <f t="shared" si="3"/>
        <v>4</v>
      </c>
    </row>
    <row r="6" spans="1:20" x14ac:dyDescent="0.25">
      <c r="A6" s="214">
        <v>43987</v>
      </c>
      <c r="B6" s="234" t="str">
        <f t="shared" si="0"/>
        <v>Pá</v>
      </c>
      <c r="C6" s="245">
        <v>9.5</v>
      </c>
      <c r="D6" s="216">
        <f t="shared" si="1"/>
        <v>38</v>
      </c>
      <c r="E6" s="236" t="s">
        <v>161</v>
      </c>
      <c r="F6" s="237"/>
      <c r="G6" s="238"/>
      <c r="H6" s="239" t="s">
        <v>112</v>
      </c>
      <c r="I6" s="237" t="s">
        <v>140</v>
      </c>
      <c r="J6" s="240" t="s">
        <v>15</v>
      </c>
      <c r="K6" s="241" t="s">
        <v>16</v>
      </c>
      <c r="L6" s="406">
        <v>4</v>
      </c>
      <c r="M6" s="21">
        <v>0</v>
      </c>
      <c r="N6" s="21">
        <v>0</v>
      </c>
      <c r="O6" s="17" t="s">
        <v>158</v>
      </c>
      <c r="P6" s="27"/>
      <c r="Q6" s="28"/>
      <c r="R6" s="29"/>
      <c r="S6" s="30"/>
      <c r="T6" s="13">
        <f t="shared" si="3"/>
        <v>5</v>
      </c>
    </row>
    <row r="7" spans="1:20" x14ac:dyDescent="0.25">
      <c r="A7" s="214">
        <v>43988</v>
      </c>
      <c r="B7" s="225" t="str">
        <f t="shared" si="0"/>
        <v>So</v>
      </c>
      <c r="C7" s="243">
        <v>6</v>
      </c>
      <c r="D7" s="216">
        <f t="shared" si="1"/>
        <v>24</v>
      </c>
      <c r="E7" s="227" t="s">
        <v>27</v>
      </c>
      <c r="F7" s="228"/>
      <c r="G7" s="246"/>
      <c r="H7" s="230" t="s">
        <v>112</v>
      </c>
      <c r="I7" s="228"/>
      <c r="J7" s="244" t="s">
        <v>15</v>
      </c>
      <c r="K7" s="232" t="s">
        <v>16</v>
      </c>
      <c r="L7" s="400">
        <v>4</v>
      </c>
      <c r="M7" s="14" t="s">
        <v>20</v>
      </c>
      <c r="N7" s="14" t="s">
        <v>20</v>
      </c>
      <c r="O7" s="23">
        <f>SUM(O3)</f>
        <v>10000</v>
      </c>
      <c r="P7" s="30"/>
      <c r="Q7" s="30"/>
      <c r="R7" s="32"/>
      <c r="S7" s="30"/>
      <c r="T7" s="13">
        <f t="shared" si="3"/>
        <v>6</v>
      </c>
    </row>
    <row r="8" spans="1:20" x14ac:dyDescent="0.25">
      <c r="A8" s="214">
        <v>43989</v>
      </c>
      <c r="B8" s="234" t="str">
        <f t="shared" si="0"/>
        <v>Ne</v>
      </c>
      <c r="C8" s="247">
        <v>0</v>
      </c>
      <c r="D8" s="216">
        <f t="shared" si="1"/>
        <v>0</v>
      </c>
      <c r="E8" s="248"/>
      <c r="F8" s="237"/>
      <c r="G8" s="249"/>
      <c r="H8" s="239"/>
      <c r="I8" s="237"/>
      <c r="J8" s="240" t="s">
        <v>15</v>
      </c>
      <c r="K8" s="241" t="s">
        <v>16</v>
      </c>
      <c r="L8" s="406">
        <v>4</v>
      </c>
      <c r="M8" s="21" t="s">
        <v>22</v>
      </c>
      <c r="N8" s="21" t="s">
        <v>22</v>
      </c>
      <c r="O8" s="33" t="s">
        <v>162</v>
      </c>
      <c r="P8" s="30"/>
      <c r="Q8" s="30"/>
      <c r="R8" s="32"/>
      <c r="S8" s="30"/>
      <c r="T8" s="13">
        <f t="shared" si="3"/>
        <v>7</v>
      </c>
    </row>
    <row r="9" spans="1:20" x14ac:dyDescent="0.25">
      <c r="A9" s="214">
        <v>43990</v>
      </c>
      <c r="B9" s="225" t="str">
        <f t="shared" si="0"/>
        <v>Po</v>
      </c>
      <c r="C9" s="243">
        <v>9.5</v>
      </c>
      <c r="D9" s="216">
        <f t="shared" si="1"/>
        <v>38</v>
      </c>
      <c r="E9" s="250" t="s">
        <v>30</v>
      </c>
      <c r="F9" s="228"/>
      <c r="G9" s="229"/>
      <c r="H9" s="230" t="s">
        <v>139</v>
      </c>
      <c r="I9" s="228" t="s">
        <v>163</v>
      </c>
      <c r="J9" s="231" t="s">
        <v>15</v>
      </c>
      <c r="K9" s="232" t="s">
        <v>16</v>
      </c>
      <c r="L9" s="400">
        <v>4</v>
      </c>
      <c r="M9" s="15" t="s">
        <v>23</v>
      </c>
      <c r="N9" s="15" t="s">
        <v>23</v>
      </c>
      <c r="O9" s="34">
        <f>O2+O7</f>
        <v>42106</v>
      </c>
      <c r="P9" s="30"/>
      <c r="Q9" s="30"/>
      <c r="R9" s="32"/>
      <c r="S9" s="30"/>
      <c r="T9" s="13">
        <f t="shared" si="3"/>
        <v>1</v>
      </c>
    </row>
    <row r="10" spans="1:20" x14ac:dyDescent="0.25">
      <c r="A10" s="214">
        <v>43991</v>
      </c>
      <c r="B10" s="234" t="str">
        <f t="shared" si="0"/>
        <v>Út</v>
      </c>
      <c r="C10" s="245">
        <v>10.5</v>
      </c>
      <c r="D10" s="216">
        <f t="shared" si="1"/>
        <v>42</v>
      </c>
      <c r="E10" s="253" t="s">
        <v>18</v>
      </c>
      <c r="F10" s="237"/>
      <c r="G10" s="229"/>
      <c r="H10" s="239" t="s">
        <v>139</v>
      </c>
      <c r="I10" s="237" t="s">
        <v>163</v>
      </c>
      <c r="J10" s="240" t="s">
        <v>15</v>
      </c>
      <c r="K10" s="241" t="s">
        <v>16</v>
      </c>
      <c r="L10" s="406">
        <v>4</v>
      </c>
      <c r="M10" s="251">
        <f t="shared" ref="M10:N10" si="4">SUM(M2*350)+S2</f>
        <v>53725</v>
      </c>
      <c r="N10" s="251">
        <f t="shared" si="4"/>
        <v>49176</v>
      </c>
      <c r="O10" s="35"/>
      <c r="P10" s="30"/>
      <c r="Q10" s="30"/>
      <c r="R10" s="32"/>
      <c r="S10" s="30"/>
      <c r="T10" s="13">
        <f t="shared" si="3"/>
        <v>2</v>
      </c>
    </row>
    <row r="11" spans="1:20" x14ac:dyDescent="0.25">
      <c r="A11" s="214">
        <v>43992</v>
      </c>
      <c r="B11" s="225" t="str">
        <f t="shared" si="0"/>
        <v>St</v>
      </c>
      <c r="C11" s="243">
        <v>10.5</v>
      </c>
      <c r="D11" s="216">
        <f t="shared" si="1"/>
        <v>42</v>
      </c>
      <c r="E11" s="252" t="s">
        <v>18</v>
      </c>
      <c r="F11" s="228"/>
      <c r="G11" s="229"/>
      <c r="H11" s="230"/>
      <c r="I11" s="228"/>
      <c r="J11" s="231" t="s">
        <v>15</v>
      </c>
      <c r="K11" s="232" t="s">
        <v>16</v>
      </c>
      <c r="L11" s="400">
        <v>4</v>
      </c>
      <c r="M11" s="15" t="s">
        <v>24</v>
      </c>
      <c r="N11" s="15" t="s">
        <v>24</v>
      </c>
      <c r="O11" s="223">
        <f>'05hod20'!M2</f>
        <v>112</v>
      </c>
      <c r="P11" s="30"/>
      <c r="Q11" s="30"/>
      <c r="R11" s="30"/>
      <c r="S11" s="30"/>
      <c r="T11" s="13">
        <f t="shared" si="3"/>
        <v>3</v>
      </c>
    </row>
    <row r="12" spans="1:20" x14ac:dyDescent="0.25">
      <c r="A12" s="214">
        <v>43993</v>
      </c>
      <c r="B12" s="234" t="str">
        <f t="shared" si="0"/>
        <v>Čt</v>
      </c>
      <c r="C12" s="245">
        <v>10.5</v>
      </c>
      <c r="D12" s="216">
        <f t="shared" si="1"/>
        <v>42</v>
      </c>
      <c r="E12" s="253" t="s">
        <v>18</v>
      </c>
      <c r="F12" s="237"/>
      <c r="G12" s="238"/>
      <c r="H12" s="239"/>
      <c r="I12" s="237"/>
      <c r="J12" s="240" t="s">
        <v>15</v>
      </c>
      <c r="K12" s="241" t="s">
        <v>16</v>
      </c>
      <c r="L12" s="406">
        <v>4</v>
      </c>
      <c r="M12" s="254">
        <f t="shared" ref="M12:N12" si="5">(M10+M20+M18-M22)-M14</f>
        <v>43613.5</v>
      </c>
      <c r="N12" s="254">
        <f t="shared" si="5"/>
        <v>31008.5</v>
      </c>
      <c r="O12" s="36"/>
      <c r="P12" s="30"/>
      <c r="Q12" s="30"/>
      <c r="R12" s="30"/>
      <c r="S12" s="30"/>
      <c r="T12" s="13">
        <f t="shared" si="3"/>
        <v>4</v>
      </c>
    </row>
    <row r="13" spans="1:20" x14ac:dyDescent="0.25">
      <c r="A13" s="214">
        <v>43994</v>
      </c>
      <c r="B13" s="225" t="str">
        <f t="shared" si="0"/>
        <v>Pá</v>
      </c>
      <c r="C13" s="243">
        <v>10.5</v>
      </c>
      <c r="D13" s="216">
        <f t="shared" si="1"/>
        <v>42</v>
      </c>
      <c r="E13" s="255" t="s">
        <v>18</v>
      </c>
      <c r="F13" s="228"/>
      <c r="G13" s="229"/>
      <c r="H13" s="230"/>
      <c r="I13" s="228"/>
      <c r="J13" s="231" t="s">
        <v>15</v>
      </c>
      <c r="K13" s="232" t="s">
        <v>16</v>
      </c>
      <c r="L13" s="400">
        <v>4</v>
      </c>
      <c r="M13" s="15" t="s">
        <v>26</v>
      </c>
      <c r="N13" s="15" t="s">
        <v>26</v>
      </c>
      <c r="O13" s="432"/>
      <c r="P13" s="30"/>
      <c r="Q13" s="30"/>
      <c r="R13" s="30"/>
      <c r="S13" s="30"/>
      <c r="T13" s="13">
        <f t="shared" si="3"/>
        <v>5</v>
      </c>
    </row>
    <row r="14" spans="1:20" x14ac:dyDescent="0.25">
      <c r="A14" s="214">
        <v>43995</v>
      </c>
      <c r="B14" s="234" t="str">
        <f t="shared" si="0"/>
        <v>So</v>
      </c>
      <c r="C14" s="235">
        <v>8</v>
      </c>
      <c r="D14" s="216">
        <f t="shared" si="1"/>
        <v>32</v>
      </c>
      <c r="E14" s="253" t="s">
        <v>32</v>
      </c>
      <c r="F14" s="237"/>
      <c r="G14" s="238"/>
      <c r="H14" s="239"/>
      <c r="I14" s="256"/>
      <c r="J14" s="240" t="s">
        <v>15</v>
      </c>
      <c r="K14" s="241" t="s">
        <v>16</v>
      </c>
      <c r="L14" s="406">
        <v>4</v>
      </c>
      <c r="M14" s="254">
        <f t="shared" ref="M14:N14" si="6">(M16*26.5)</f>
        <v>7764.5</v>
      </c>
      <c r="N14" s="254">
        <f t="shared" si="6"/>
        <v>15820.5</v>
      </c>
      <c r="O14" s="37"/>
      <c r="P14" s="30"/>
      <c r="Q14" s="30"/>
      <c r="R14" s="30"/>
      <c r="S14" s="30"/>
      <c r="T14" s="13">
        <f t="shared" si="3"/>
        <v>6</v>
      </c>
    </row>
    <row r="15" spans="1:20" x14ac:dyDescent="0.25">
      <c r="A15" s="214">
        <v>43996</v>
      </c>
      <c r="B15" s="225" t="str">
        <f t="shared" si="0"/>
        <v>Ne</v>
      </c>
      <c r="C15" s="226">
        <v>0</v>
      </c>
      <c r="D15" s="216">
        <f t="shared" si="1"/>
        <v>0</v>
      </c>
      <c r="E15" s="252"/>
      <c r="F15" s="228"/>
      <c r="G15" s="229"/>
      <c r="H15" s="230"/>
      <c r="I15" s="257"/>
      <c r="J15" s="231" t="s">
        <v>15</v>
      </c>
      <c r="K15" s="232" t="s">
        <v>16</v>
      </c>
      <c r="L15" s="400">
        <v>4</v>
      </c>
      <c r="M15" s="15" t="s">
        <v>29</v>
      </c>
      <c r="N15" s="15" t="s">
        <v>29</v>
      </c>
      <c r="O15" s="37"/>
      <c r="P15" s="30"/>
      <c r="Q15" s="30"/>
      <c r="R15" s="30"/>
      <c r="S15" s="30"/>
      <c r="T15" s="13">
        <f t="shared" si="3"/>
        <v>7</v>
      </c>
    </row>
    <row r="16" spans="1:20" x14ac:dyDescent="0.25">
      <c r="A16" s="214">
        <v>43997</v>
      </c>
      <c r="B16" s="234" t="str">
        <f t="shared" si="0"/>
        <v>Po</v>
      </c>
      <c r="C16" s="235">
        <v>10.5</v>
      </c>
      <c r="D16" s="216">
        <f t="shared" si="1"/>
        <v>42</v>
      </c>
      <c r="E16" s="248" t="s">
        <v>18</v>
      </c>
      <c r="F16" s="256"/>
      <c r="G16" s="238"/>
      <c r="H16" s="239"/>
      <c r="I16" s="256"/>
      <c r="J16" s="240" t="s">
        <v>15</v>
      </c>
      <c r="K16" s="241" t="s">
        <v>16</v>
      </c>
      <c r="L16" s="406">
        <v>4</v>
      </c>
      <c r="M16" s="258">
        <f>'20ČervenV'!O27</f>
        <v>293</v>
      </c>
      <c r="N16" s="258">
        <v>597</v>
      </c>
      <c r="O16" s="340"/>
      <c r="P16" s="30"/>
      <c r="Q16" s="30"/>
      <c r="R16" s="30"/>
      <c r="S16" s="30"/>
      <c r="T16" s="13">
        <f t="shared" si="3"/>
        <v>1</v>
      </c>
    </row>
    <row r="17" spans="1:20" x14ac:dyDescent="0.25">
      <c r="A17" s="214">
        <v>43998</v>
      </c>
      <c r="B17" s="225" t="str">
        <f t="shared" si="0"/>
        <v>Út</v>
      </c>
      <c r="C17" s="243">
        <v>10.5</v>
      </c>
      <c r="D17" s="216">
        <f t="shared" si="1"/>
        <v>42</v>
      </c>
      <c r="E17" s="250" t="s">
        <v>18</v>
      </c>
      <c r="F17" s="257"/>
      <c r="G17" s="229"/>
      <c r="H17" s="230"/>
      <c r="I17" s="257"/>
      <c r="J17" s="231" t="s">
        <v>15</v>
      </c>
      <c r="K17" s="232" t="s">
        <v>16</v>
      </c>
      <c r="L17" s="400">
        <v>4</v>
      </c>
      <c r="M17" s="15" t="s">
        <v>31</v>
      </c>
      <c r="N17" s="15" t="s">
        <v>31</v>
      </c>
      <c r="S17" s="30"/>
      <c r="T17" s="13">
        <f t="shared" si="3"/>
        <v>2</v>
      </c>
    </row>
    <row r="18" spans="1:20" x14ac:dyDescent="0.25">
      <c r="A18" s="214">
        <v>43999</v>
      </c>
      <c r="B18" s="234" t="str">
        <f t="shared" si="0"/>
        <v>St</v>
      </c>
      <c r="C18" s="256">
        <v>10.5</v>
      </c>
      <c r="D18" s="216">
        <f t="shared" si="1"/>
        <v>42</v>
      </c>
      <c r="E18" s="248" t="s">
        <v>18</v>
      </c>
      <c r="F18" s="256"/>
      <c r="G18" s="238"/>
      <c r="H18" s="239"/>
      <c r="I18" s="256"/>
      <c r="J18" s="240" t="s">
        <v>15</v>
      </c>
      <c r="K18" s="241" t="s">
        <v>16</v>
      </c>
      <c r="L18" s="406">
        <v>4</v>
      </c>
      <c r="M18" s="251">
        <v>1243</v>
      </c>
      <c r="N18" s="251">
        <v>1243</v>
      </c>
      <c r="S18" s="30"/>
      <c r="T18" s="13">
        <f t="shared" si="3"/>
        <v>3</v>
      </c>
    </row>
    <row r="19" spans="1:20" x14ac:dyDescent="0.25">
      <c r="A19" s="214">
        <v>44000</v>
      </c>
      <c r="B19" s="225" t="str">
        <f t="shared" si="0"/>
        <v>Čt</v>
      </c>
      <c r="C19" s="257">
        <v>7</v>
      </c>
      <c r="D19" s="216">
        <f t="shared" si="1"/>
        <v>28</v>
      </c>
      <c r="E19" s="250" t="s">
        <v>115</v>
      </c>
      <c r="F19" s="257"/>
      <c r="G19" s="229"/>
      <c r="H19" s="230"/>
      <c r="I19" s="257"/>
      <c r="J19" s="231" t="s">
        <v>15</v>
      </c>
      <c r="K19" s="232" t="s">
        <v>16</v>
      </c>
      <c r="L19" s="400">
        <v>4</v>
      </c>
      <c r="M19" s="259" t="s">
        <v>33</v>
      </c>
      <c r="N19" s="259" t="s">
        <v>33</v>
      </c>
      <c r="S19" s="30"/>
      <c r="T19" s="13">
        <f t="shared" si="3"/>
        <v>4</v>
      </c>
    </row>
    <row r="20" spans="1:20" x14ac:dyDescent="0.25">
      <c r="A20" s="214">
        <v>44001</v>
      </c>
      <c r="B20" s="234" t="str">
        <f t="shared" si="0"/>
        <v>Pá</v>
      </c>
      <c r="C20" s="245"/>
      <c r="D20" s="216">
        <f t="shared" si="1"/>
        <v>0</v>
      </c>
      <c r="E20" s="248"/>
      <c r="F20" s="256"/>
      <c r="G20" s="238"/>
      <c r="H20" s="239"/>
      <c r="I20" s="256"/>
      <c r="J20" s="240"/>
      <c r="K20" s="241" t="s">
        <v>16</v>
      </c>
      <c r="L20" s="406">
        <v>4</v>
      </c>
      <c r="M20" s="251">
        <v>0</v>
      </c>
      <c r="N20" s="251">
        <v>0</v>
      </c>
      <c r="S20" s="30"/>
      <c r="T20" s="13">
        <f t="shared" si="3"/>
        <v>5</v>
      </c>
    </row>
    <row r="21" spans="1:20" ht="15.75" customHeight="1" x14ac:dyDescent="0.25">
      <c r="A21" s="214">
        <v>44002</v>
      </c>
      <c r="B21" s="225" t="str">
        <f t="shared" si="0"/>
        <v>So</v>
      </c>
      <c r="C21" s="243"/>
      <c r="D21" s="216">
        <f t="shared" si="1"/>
        <v>0</v>
      </c>
      <c r="E21" s="252"/>
      <c r="F21" s="257"/>
      <c r="G21" s="229"/>
      <c r="H21" s="230"/>
      <c r="I21" s="257"/>
      <c r="J21" s="231"/>
      <c r="K21" s="241" t="s">
        <v>16</v>
      </c>
      <c r="L21" s="400">
        <v>4</v>
      </c>
      <c r="M21" s="259" t="s">
        <v>34</v>
      </c>
      <c r="N21" s="259" t="s">
        <v>34</v>
      </c>
      <c r="S21" s="30"/>
      <c r="T21" s="13">
        <f t="shared" si="3"/>
        <v>6</v>
      </c>
    </row>
    <row r="22" spans="1:20" ht="15.75" customHeight="1" x14ac:dyDescent="0.25">
      <c r="A22" s="214">
        <v>44003</v>
      </c>
      <c r="B22" s="234" t="str">
        <f t="shared" si="0"/>
        <v>Ne</v>
      </c>
      <c r="C22" s="245"/>
      <c r="D22" s="216">
        <f t="shared" si="1"/>
        <v>0</v>
      </c>
      <c r="E22" s="253"/>
      <c r="F22" s="256"/>
      <c r="G22" s="238"/>
      <c r="H22" s="239"/>
      <c r="I22" s="256"/>
      <c r="J22" s="240"/>
      <c r="K22" s="241" t="s">
        <v>16</v>
      </c>
      <c r="L22" s="406">
        <v>4</v>
      </c>
      <c r="M22" s="251">
        <v>3590</v>
      </c>
      <c r="N22" s="251">
        <v>3590</v>
      </c>
      <c r="S22" s="30"/>
      <c r="T22" s="13">
        <f t="shared" si="3"/>
        <v>7</v>
      </c>
    </row>
    <row r="23" spans="1:20" ht="15.75" customHeight="1" x14ac:dyDescent="0.25">
      <c r="A23" s="214">
        <v>44004</v>
      </c>
      <c r="B23" s="225" t="str">
        <f t="shared" si="0"/>
        <v>Po</v>
      </c>
      <c r="C23" s="243"/>
      <c r="D23" s="216">
        <f t="shared" si="1"/>
        <v>0</v>
      </c>
      <c r="E23" s="250"/>
      <c r="F23" s="257"/>
      <c r="G23" s="238"/>
      <c r="H23" s="230"/>
      <c r="I23" s="256"/>
      <c r="J23" s="231"/>
      <c r="K23" s="241" t="s">
        <v>16</v>
      </c>
      <c r="L23" s="400">
        <v>4</v>
      </c>
      <c r="M23" s="15" t="s">
        <v>35</v>
      </c>
      <c r="N23" s="15" t="s">
        <v>164</v>
      </c>
      <c r="S23" s="30"/>
      <c r="T23" s="13">
        <f t="shared" si="3"/>
        <v>1</v>
      </c>
    </row>
    <row r="24" spans="1:20" ht="15.75" customHeight="1" x14ac:dyDescent="0.25">
      <c r="A24" s="214">
        <v>44005</v>
      </c>
      <c r="B24" s="234" t="str">
        <f t="shared" si="0"/>
        <v>Út</v>
      </c>
      <c r="C24" s="245"/>
      <c r="D24" s="216">
        <f t="shared" si="1"/>
        <v>0</v>
      </c>
      <c r="E24" s="248"/>
      <c r="F24" s="256"/>
      <c r="G24" s="238"/>
      <c r="H24" s="239"/>
      <c r="I24" s="256"/>
      <c r="J24" s="240"/>
      <c r="K24" s="241" t="s">
        <v>16</v>
      </c>
      <c r="L24" s="406">
        <v>4</v>
      </c>
      <c r="M24" s="260">
        <f>M12-O7+M28-O5</f>
        <v>17412.5</v>
      </c>
      <c r="N24" s="260">
        <f>N12-O7+M28-O5</f>
        <v>4807.5</v>
      </c>
      <c r="S24" s="30"/>
      <c r="T24" s="13">
        <f t="shared" si="3"/>
        <v>2</v>
      </c>
    </row>
    <row r="25" spans="1:20" ht="15.75" customHeight="1" x14ac:dyDescent="0.25">
      <c r="A25" s="214">
        <v>44006</v>
      </c>
      <c r="B25" s="225" t="str">
        <f t="shared" si="0"/>
        <v>St</v>
      </c>
      <c r="C25" s="243"/>
      <c r="D25" s="216">
        <f t="shared" si="1"/>
        <v>0</v>
      </c>
      <c r="E25" s="252"/>
      <c r="F25" s="257"/>
      <c r="G25" s="238"/>
      <c r="H25" s="230"/>
      <c r="I25" s="256"/>
      <c r="J25" s="231"/>
      <c r="K25" s="241" t="s">
        <v>16</v>
      </c>
      <c r="L25" s="400">
        <v>4</v>
      </c>
      <c r="M25" s="1265" t="s">
        <v>165</v>
      </c>
      <c r="N25" s="1267"/>
      <c r="S25" s="30"/>
      <c r="T25" s="13">
        <f t="shared" si="3"/>
        <v>3</v>
      </c>
    </row>
    <row r="26" spans="1:20" ht="15.75" customHeight="1" x14ac:dyDescent="0.25">
      <c r="A26" s="214">
        <v>44007</v>
      </c>
      <c r="B26" s="234" t="str">
        <f t="shared" si="0"/>
        <v>Čt</v>
      </c>
      <c r="C26" s="245"/>
      <c r="D26" s="216">
        <f t="shared" si="1"/>
        <v>0</v>
      </c>
      <c r="E26" s="253"/>
      <c r="F26" s="256"/>
      <c r="G26" s="238"/>
      <c r="H26" s="239"/>
      <c r="I26" s="256"/>
      <c r="J26" s="240"/>
      <c r="K26" s="241" t="s">
        <v>16</v>
      </c>
      <c r="L26" s="418">
        <v>4</v>
      </c>
      <c r="M26" s="261">
        <v>0</v>
      </c>
      <c r="N26" s="261">
        <f>M26-P7</f>
        <v>0</v>
      </c>
      <c r="S26" s="30"/>
      <c r="T26" s="13">
        <f t="shared" si="3"/>
        <v>4</v>
      </c>
    </row>
    <row r="27" spans="1:20" ht="15.75" customHeight="1" x14ac:dyDescent="0.25">
      <c r="A27" s="214">
        <v>44008</v>
      </c>
      <c r="B27" s="225" t="str">
        <f t="shared" ref="B27:B32" si="7">CHOOSE(WEEKDAY(S27),"Po","Út","St","Čt","Pá","So","Ne")</f>
        <v>Pá</v>
      </c>
      <c r="C27" s="243"/>
      <c r="D27" s="216">
        <f t="shared" si="1"/>
        <v>0</v>
      </c>
      <c r="E27" s="253"/>
      <c r="F27" s="257"/>
      <c r="G27" s="238"/>
      <c r="H27" s="239"/>
      <c r="I27" s="256"/>
      <c r="J27" s="231"/>
      <c r="K27" s="241" t="s">
        <v>16</v>
      </c>
      <c r="L27" s="30">
        <v>4</v>
      </c>
      <c r="M27" t="s">
        <v>166</v>
      </c>
      <c r="R27" s="30"/>
      <c r="S27" s="13">
        <f t="shared" ref="S27:S32" si="8">WEEKDAY(A27,2)</f>
        <v>5</v>
      </c>
    </row>
    <row r="28" spans="1:20" ht="15.75" customHeight="1" x14ac:dyDescent="0.25">
      <c r="A28" s="214">
        <v>44009</v>
      </c>
      <c r="B28" s="234" t="str">
        <f t="shared" si="7"/>
        <v>So</v>
      </c>
      <c r="C28" s="245"/>
      <c r="D28" s="216">
        <f t="shared" si="1"/>
        <v>0</v>
      </c>
      <c r="E28" s="253"/>
      <c r="F28" s="256"/>
      <c r="G28" s="238"/>
      <c r="H28" s="239"/>
      <c r="I28" s="256"/>
      <c r="J28" s="240"/>
      <c r="K28" s="241" t="s">
        <v>16</v>
      </c>
      <c r="L28" s="30">
        <v>4</v>
      </c>
      <c r="M28" s="261">
        <f>'05hod20'!N26</f>
        <v>1998</v>
      </c>
      <c r="O28" s="30"/>
      <c r="P28" s="30"/>
      <c r="Q28" s="30"/>
      <c r="R28" s="30"/>
      <c r="S28" s="13">
        <f t="shared" si="8"/>
        <v>6</v>
      </c>
    </row>
    <row r="29" spans="1:20" ht="15.75" customHeight="1" x14ac:dyDescent="0.25">
      <c r="A29" s="214">
        <v>44010</v>
      </c>
      <c r="B29" s="225" t="str">
        <f t="shared" si="7"/>
        <v>Ne</v>
      </c>
      <c r="C29" s="243"/>
      <c r="D29" s="216">
        <f t="shared" si="1"/>
        <v>0</v>
      </c>
      <c r="E29" s="253"/>
      <c r="F29" s="257"/>
      <c r="G29" s="238"/>
      <c r="H29" s="239"/>
      <c r="I29" s="256"/>
      <c r="J29" s="231"/>
      <c r="K29" s="241" t="s">
        <v>16</v>
      </c>
      <c r="L29" s="30">
        <v>4</v>
      </c>
      <c r="M29" s="30"/>
      <c r="N29" s="30"/>
      <c r="O29" s="30"/>
      <c r="P29" s="30"/>
      <c r="Q29" s="30"/>
      <c r="R29" s="30"/>
      <c r="S29" s="13">
        <f t="shared" si="8"/>
        <v>7</v>
      </c>
    </row>
    <row r="30" spans="1:20" ht="15.75" customHeight="1" x14ac:dyDescent="0.25">
      <c r="A30" s="214">
        <v>44011</v>
      </c>
      <c r="B30" s="234" t="str">
        <f t="shared" si="7"/>
        <v>Po</v>
      </c>
      <c r="C30" s="245">
        <v>3</v>
      </c>
      <c r="D30" s="216">
        <f t="shared" si="1"/>
        <v>9</v>
      </c>
      <c r="E30" s="253" t="s">
        <v>167</v>
      </c>
      <c r="F30" s="256" t="s">
        <v>168</v>
      </c>
      <c r="G30" s="238"/>
      <c r="H30" s="239"/>
      <c r="I30" s="256"/>
      <c r="J30" s="240"/>
      <c r="K30" s="241" t="s">
        <v>16</v>
      </c>
      <c r="L30" s="30">
        <v>3</v>
      </c>
      <c r="M30" s="30"/>
      <c r="N30" s="30"/>
      <c r="O30" s="30"/>
      <c r="P30" s="30"/>
      <c r="Q30" s="30"/>
      <c r="R30" s="30"/>
      <c r="S30" s="13">
        <f t="shared" si="8"/>
        <v>1</v>
      </c>
    </row>
    <row r="31" spans="1:20" ht="15.75" customHeight="1" x14ac:dyDescent="0.25">
      <c r="A31" s="214">
        <v>44012</v>
      </c>
      <c r="B31" s="225" t="str">
        <f t="shared" si="7"/>
        <v>Út</v>
      </c>
      <c r="C31" s="243">
        <v>11.5</v>
      </c>
      <c r="D31" s="216">
        <f t="shared" si="1"/>
        <v>46</v>
      </c>
      <c r="E31" s="252" t="s">
        <v>75</v>
      </c>
      <c r="F31" s="257"/>
      <c r="G31" s="238"/>
      <c r="H31" s="239"/>
      <c r="I31" s="256"/>
      <c r="J31" s="231"/>
      <c r="K31" s="241" t="s">
        <v>16</v>
      </c>
      <c r="L31" s="38">
        <v>4</v>
      </c>
      <c r="M31" s="36"/>
      <c r="N31" s="36"/>
      <c r="O31" s="30"/>
      <c r="P31" s="30"/>
      <c r="Q31" s="30"/>
      <c r="R31" s="30"/>
      <c r="S31" s="13">
        <f t="shared" si="8"/>
        <v>2</v>
      </c>
    </row>
    <row r="32" spans="1:20" ht="15.75" customHeight="1" x14ac:dyDescent="0.25">
      <c r="A32" s="266"/>
      <c r="B32" s="267" t="str">
        <f t="shared" si="7"/>
        <v>So</v>
      </c>
      <c r="C32" s="365"/>
      <c r="D32" s="216">
        <f t="shared" si="1"/>
        <v>0</v>
      </c>
      <c r="E32" s="366"/>
      <c r="F32" s="367"/>
      <c r="G32" s="368"/>
      <c r="H32" s="423"/>
      <c r="I32" s="367"/>
      <c r="J32" s="369"/>
      <c r="K32" s="370"/>
      <c r="L32" s="38"/>
      <c r="M32" s="38"/>
      <c r="N32" s="38"/>
      <c r="O32" s="38"/>
      <c r="P32" s="30"/>
      <c r="Q32" s="30"/>
      <c r="R32" s="30"/>
      <c r="S32" s="13">
        <f t="shared" si="8"/>
        <v>6</v>
      </c>
    </row>
    <row r="33" spans="1:20" ht="15.75" customHeight="1" x14ac:dyDescent="0.25">
      <c r="L33" s="38"/>
      <c r="M33" s="38"/>
      <c r="N33" s="38"/>
      <c r="O33" s="38"/>
      <c r="P33" s="30"/>
      <c r="Q33" s="30"/>
      <c r="R33" s="30"/>
    </row>
    <row r="34" spans="1:20" ht="15.75" customHeight="1" x14ac:dyDescent="0.25">
      <c r="L34" s="38"/>
      <c r="M34" s="38"/>
      <c r="N34" s="38"/>
      <c r="O34" s="38"/>
      <c r="P34" s="30"/>
      <c r="Q34" s="30"/>
      <c r="R34" s="30"/>
    </row>
    <row r="35" spans="1:20" ht="15.75" customHeight="1" x14ac:dyDescent="0.25">
      <c r="A35" s="30"/>
      <c r="B35" s="30"/>
      <c r="C35" s="30"/>
      <c r="D35" s="30"/>
      <c r="E35" s="30"/>
      <c r="F35" s="30"/>
      <c r="G35" s="30"/>
      <c r="H35" s="13"/>
      <c r="L35" s="30"/>
      <c r="M35" s="30"/>
      <c r="N35" s="30"/>
      <c r="O35" s="30"/>
      <c r="P35" s="30"/>
      <c r="Q35" s="30"/>
    </row>
    <row r="36" spans="1:20" ht="15.75" customHeight="1" x14ac:dyDescent="0.25">
      <c r="A36" s="1257" t="s">
        <v>80</v>
      </c>
      <c r="B36" s="1258"/>
      <c r="C36" s="1263" t="s">
        <v>81</v>
      </c>
      <c r="D36" s="1264"/>
      <c r="N36" s="30"/>
      <c r="O36" s="40"/>
      <c r="P36" s="40"/>
      <c r="Q36" s="40"/>
    </row>
    <row r="37" spans="1:20" ht="15.75" customHeight="1" x14ac:dyDescent="0.25">
      <c r="A37" s="268" t="s">
        <v>47</v>
      </c>
      <c r="B37" s="269" t="s">
        <v>82</v>
      </c>
      <c r="C37" s="268" t="s">
        <v>47</v>
      </c>
      <c r="D37" s="270" t="s">
        <v>82</v>
      </c>
      <c r="N37" s="30"/>
      <c r="O37" s="40"/>
      <c r="P37" s="40"/>
      <c r="Q37" s="40"/>
      <c r="R37" s="40"/>
      <c r="S37" s="30"/>
    </row>
    <row r="38" spans="1:20" ht="15.75" customHeight="1" x14ac:dyDescent="0.25">
      <c r="A38" s="271">
        <v>43862</v>
      </c>
      <c r="B38" s="272">
        <v>142000</v>
      </c>
      <c r="C38" s="273">
        <v>43897</v>
      </c>
      <c r="D38" s="274">
        <v>150000</v>
      </c>
      <c r="N38" s="30"/>
      <c r="O38" s="40"/>
      <c r="P38" s="40"/>
      <c r="Q38" s="40"/>
      <c r="R38" s="40"/>
      <c r="S38" s="30"/>
    </row>
    <row r="39" spans="1:20" ht="15.75" customHeight="1" x14ac:dyDescent="0.25">
      <c r="A39" s="30"/>
      <c r="B39" s="1260" t="s">
        <v>83</v>
      </c>
      <c r="C39" s="1258"/>
      <c r="D39" s="30"/>
      <c r="N39" s="41"/>
      <c r="O39" s="40"/>
      <c r="P39" s="40"/>
      <c r="Q39" s="40"/>
      <c r="R39" s="40"/>
      <c r="S39" s="30"/>
    </row>
    <row r="40" spans="1:20" ht="15.75" customHeight="1" x14ac:dyDescent="0.25">
      <c r="A40" s="275"/>
      <c r="B40" s="1261">
        <f>D38-B38</f>
        <v>8000</v>
      </c>
      <c r="C40" s="1262"/>
      <c r="D40" s="30"/>
      <c r="N40" s="41"/>
      <c r="O40" s="40"/>
      <c r="P40" s="40"/>
      <c r="Q40" s="40"/>
      <c r="R40" s="40"/>
      <c r="S40" s="30"/>
    </row>
    <row r="41" spans="1:20" ht="15.75" customHeight="1" x14ac:dyDescent="0.25">
      <c r="M41" s="41"/>
      <c r="O41" s="41"/>
      <c r="P41" s="40"/>
      <c r="Q41" s="40"/>
      <c r="R41" s="40"/>
      <c r="S41" s="40"/>
      <c r="T41" s="30"/>
    </row>
    <row r="42" spans="1:20" ht="15.75" customHeight="1" x14ac:dyDescent="0.25">
      <c r="M42" s="41"/>
      <c r="O42" s="41"/>
      <c r="P42" s="40"/>
      <c r="Q42" s="40"/>
      <c r="R42" s="40"/>
      <c r="S42" s="40"/>
      <c r="T42" s="30"/>
    </row>
    <row r="43" spans="1:20" ht="15.75" customHeight="1" x14ac:dyDescent="0.25">
      <c r="M43" s="41"/>
      <c r="O43" s="41"/>
      <c r="P43" s="40"/>
      <c r="Q43" s="40"/>
      <c r="R43" s="40"/>
      <c r="S43" s="40"/>
      <c r="T43" s="30"/>
    </row>
    <row r="44" spans="1:20" ht="15.75" customHeight="1" x14ac:dyDescent="0.25">
      <c r="M44" s="41"/>
      <c r="O44" s="41"/>
      <c r="P44" s="40"/>
      <c r="Q44" s="40"/>
      <c r="R44" s="40"/>
      <c r="S44" s="40"/>
      <c r="T44" s="30"/>
    </row>
    <row r="45" spans="1:20" ht="15.75" customHeight="1" x14ac:dyDescent="0.25">
      <c r="M45" s="41"/>
      <c r="O45" s="41"/>
      <c r="P45" s="40"/>
      <c r="Q45" s="40"/>
      <c r="R45" s="40"/>
      <c r="S45" s="40"/>
      <c r="T45" s="30"/>
    </row>
    <row r="46" spans="1:20" ht="15.75" customHeight="1" x14ac:dyDescent="0.25">
      <c r="M46" s="41"/>
      <c r="O46" s="41"/>
      <c r="P46" s="40"/>
      <c r="Q46" s="40"/>
      <c r="R46" s="40"/>
      <c r="S46" s="40"/>
      <c r="T46" s="30"/>
    </row>
    <row r="47" spans="1:20" ht="15.75" customHeight="1" x14ac:dyDescent="0.25">
      <c r="M47" s="41"/>
      <c r="O47" s="41"/>
      <c r="P47" s="40"/>
      <c r="Q47" s="40"/>
      <c r="R47" s="40"/>
      <c r="S47" s="40"/>
      <c r="T47" s="30"/>
    </row>
    <row r="48" spans="1:20" ht="15.75" customHeight="1" x14ac:dyDescent="0.25">
      <c r="M48" s="41"/>
      <c r="O48" s="41"/>
      <c r="P48" s="40"/>
      <c r="Q48" s="40"/>
      <c r="R48" s="40"/>
      <c r="S48" s="40"/>
      <c r="T48" s="30"/>
    </row>
    <row r="49" spans="13:20" ht="15.75" customHeight="1" x14ac:dyDescent="0.25">
      <c r="M49" s="41"/>
      <c r="O49" s="41"/>
      <c r="P49" s="40"/>
      <c r="Q49" s="40"/>
      <c r="R49" s="40"/>
      <c r="S49" s="40"/>
      <c r="T49" s="30"/>
    </row>
    <row r="50" spans="13:20" ht="15.75" customHeight="1" x14ac:dyDescent="0.25">
      <c r="M50" s="41"/>
      <c r="O50" s="41"/>
      <c r="P50" s="40"/>
      <c r="Q50" s="40"/>
      <c r="R50" s="40"/>
      <c r="S50" s="40"/>
      <c r="T50" s="30"/>
    </row>
    <row r="51" spans="13:20" ht="15.75" customHeight="1" x14ac:dyDescent="0.25">
      <c r="M51" s="41"/>
      <c r="O51" s="41"/>
      <c r="P51" s="40"/>
      <c r="Q51" s="40"/>
      <c r="R51" s="40"/>
      <c r="S51" s="40"/>
      <c r="T51" s="30"/>
    </row>
    <row r="52" spans="13:20" ht="15.75" customHeight="1" x14ac:dyDescent="0.25">
      <c r="M52" s="41"/>
      <c r="O52" s="41"/>
      <c r="P52" s="40"/>
      <c r="Q52" s="40"/>
      <c r="R52" s="40"/>
      <c r="S52" s="40"/>
      <c r="T52" s="30"/>
    </row>
    <row r="53" spans="13:20" ht="15.75" customHeight="1" x14ac:dyDescent="0.25">
      <c r="M53" s="41"/>
      <c r="O53" s="41"/>
      <c r="P53" s="40"/>
      <c r="Q53" s="40"/>
      <c r="R53" s="40"/>
      <c r="S53" s="40"/>
      <c r="T53" s="30"/>
    </row>
    <row r="54" spans="13:20" ht="15.75" customHeight="1" x14ac:dyDescent="0.25">
      <c r="M54" s="41"/>
      <c r="O54" s="41"/>
      <c r="P54" s="40"/>
      <c r="Q54" s="40"/>
      <c r="R54" s="40"/>
      <c r="S54" s="40"/>
      <c r="T54" s="30"/>
    </row>
    <row r="55" spans="13:20" ht="15.75" customHeight="1" x14ac:dyDescent="0.25">
      <c r="M55" s="41"/>
      <c r="O55" s="41"/>
      <c r="P55" s="40"/>
      <c r="Q55" s="40"/>
      <c r="R55" s="40"/>
      <c r="S55" s="40"/>
      <c r="T55" s="30"/>
    </row>
    <row r="56" spans="13:20" ht="15.75" customHeight="1" x14ac:dyDescent="0.25">
      <c r="M56" s="41"/>
      <c r="O56" s="41"/>
      <c r="P56" s="40"/>
      <c r="Q56" s="40"/>
      <c r="R56" s="40"/>
      <c r="S56" s="40"/>
      <c r="T56" s="30"/>
    </row>
    <row r="57" spans="13:20" ht="15.75" customHeight="1" x14ac:dyDescent="0.25">
      <c r="M57" s="41"/>
      <c r="O57" s="41"/>
      <c r="P57" s="40"/>
      <c r="Q57" s="40"/>
      <c r="R57" s="40"/>
      <c r="S57" s="40"/>
      <c r="T57" s="30"/>
    </row>
    <row r="58" spans="13:20" ht="15.75" customHeight="1" x14ac:dyDescent="0.25">
      <c r="M58" s="41"/>
      <c r="O58" s="41"/>
      <c r="P58" s="40"/>
      <c r="Q58" s="40"/>
      <c r="R58" s="40"/>
      <c r="S58" s="40"/>
      <c r="T58" s="30"/>
    </row>
    <row r="59" spans="13:20" ht="15.75" customHeight="1" x14ac:dyDescent="0.25">
      <c r="M59" s="41"/>
      <c r="O59" s="41"/>
      <c r="P59" s="40"/>
      <c r="Q59" s="40"/>
      <c r="R59" s="40"/>
      <c r="S59" s="40"/>
      <c r="T59" s="30"/>
    </row>
    <row r="60" spans="13:20" ht="15.75" customHeight="1" x14ac:dyDescent="0.25">
      <c r="M60" s="41"/>
      <c r="O60" s="41"/>
      <c r="P60" s="40"/>
      <c r="Q60" s="40"/>
      <c r="R60" s="40"/>
      <c r="S60" s="40"/>
      <c r="T60" s="30"/>
    </row>
    <row r="61" spans="13:20" ht="15.75" customHeight="1" x14ac:dyDescent="0.25">
      <c r="M61" s="41"/>
      <c r="O61" s="41"/>
      <c r="P61" s="40"/>
      <c r="Q61" s="40"/>
      <c r="R61" s="40"/>
      <c r="S61" s="40"/>
      <c r="T61" s="30"/>
    </row>
    <row r="62" spans="13:20" ht="15.75" customHeight="1" x14ac:dyDescent="0.25">
      <c r="M62" s="41"/>
      <c r="O62" s="41"/>
      <c r="P62" s="40"/>
      <c r="Q62" s="40"/>
      <c r="R62" s="40"/>
      <c r="S62" s="40"/>
      <c r="T62" s="30"/>
    </row>
    <row r="63" spans="13:20" ht="15.75" customHeight="1" x14ac:dyDescent="0.25">
      <c r="M63" s="41"/>
      <c r="O63" s="41"/>
      <c r="P63" s="40"/>
      <c r="Q63" s="40"/>
      <c r="R63" s="40"/>
      <c r="S63" s="40"/>
      <c r="T63" s="30"/>
    </row>
    <row r="64" spans="13:20" ht="15.75" customHeight="1" x14ac:dyDescent="0.25">
      <c r="M64" s="41"/>
      <c r="O64" s="41"/>
      <c r="P64" s="40"/>
      <c r="Q64" s="40"/>
      <c r="R64" s="40"/>
      <c r="S64" s="40"/>
      <c r="T64" s="30"/>
    </row>
    <row r="65" spans="13:20" ht="15.75" customHeight="1" x14ac:dyDescent="0.25">
      <c r="M65" s="41"/>
      <c r="O65" s="41"/>
      <c r="P65" s="40"/>
      <c r="Q65" s="40"/>
      <c r="R65" s="40"/>
      <c r="S65" s="40"/>
      <c r="T65" s="30"/>
    </row>
    <row r="66" spans="13:20" ht="15.75" customHeight="1" x14ac:dyDescent="0.25">
      <c r="M66" s="41"/>
      <c r="O66" s="41"/>
      <c r="P66" s="40"/>
      <c r="Q66" s="40"/>
      <c r="R66" s="40"/>
      <c r="S66" s="40"/>
      <c r="T66" s="30"/>
    </row>
    <row r="67" spans="13:20" ht="15.75" customHeight="1" x14ac:dyDescent="0.25">
      <c r="M67" s="41"/>
      <c r="O67" s="41"/>
      <c r="P67" s="40"/>
      <c r="Q67" s="40"/>
      <c r="R67" s="40"/>
      <c r="S67" s="40"/>
      <c r="T67" s="30"/>
    </row>
    <row r="68" spans="13:20" ht="15.75" customHeight="1" x14ac:dyDescent="0.25">
      <c r="M68" s="41"/>
      <c r="O68" s="41"/>
      <c r="P68" s="40"/>
      <c r="Q68" s="40"/>
      <c r="R68" s="40"/>
      <c r="S68" s="40"/>
      <c r="T68" s="30"/>
    </row>
    <row r="69" spans="13:20" ht="15.75" customHeight="1" x14ac:dyDescent="0.25">
      <c r="M69" s="41"/>
      <c r="O69" s="41"/>
      <c r="P69" s="40"/>
      <c r="Q69" s="40"/>
      <c r="R69" s="40"/>
      <c r="S69" s="40"/>
      <c r="T69" s="30"/>
    </row>
    <row r="70" spans="13:20" ht="15.75" customHeight="1" x14ac:dyDescent="0.25">
      <c r="M70" s="41"/>
      <c r="O70" s="41"/>
      <c r="P70" s="40"/>
      <c r="Q70" s="40"/>
      <c r="R70" s="40"/>
      <c r="S70" s="40"/>
      <c r="T70" s="30"/>
    </row>
    <row r="71" spans="13:20" ht="15.75" customHeight="1" x14ac:dyDescent="0.25">
      <c r="M71" s="41"/>
      <c r="O71" s="41"/>
      <c r="P71" s="40"/>
      <c r="Q71" s="40"/>
      <c r="R71" s="40"/>
      <c r="S71" s="40"/>
      <c r="T71" s="30"/>
    </row>
    <row r="72" spans="13:20" ht="15.75" customHeight="1" x14ac:dyDescent="0.25">
      <c r="M72" s="41"/>
      <c r="O72" s="41"/>
      <c r="P72" s="40"/>
      <c r="Q72" s="40"/>
      <c r="R72" s="40"/>
      <c r="S72" s="40"/>
      <c r="T72" s="30"/>
    </row>
    <row r="73" spans="13:20" ht="15.75" customHeight="1" x14ac:dyDescent="0.25">
      <c r="M73" s="41"/>
      <c r="O73" s="41"/>
      <c r="P73" s="40"/>
      <c r="Q73" s="40"/>
      <c r="R73" s="40"/>
      <c r="S73" s="40"/>
      <c r="T73" s="30"/>
    </row>
    <row r="74" spans="13:20" ht="15.75" customHeight="1" x14ac:dyDescent="0.25">
      <c r="M74" s="41"/>
      <c r="O74" s="41"/>
      <c r="P74" s="40"/>
      <c r="Q74" s="40"/>
      <c r="R74" s="40"/>
      <c r="S74" s="40"/>
      <c r="T74" s="30"/>
    </row>
    <row r="75" spans="13:20" ht="15.75" customHeight="1" x14ac:dyDescent="0.25">
      <c r="M75" s="41"/>
      <c r="O75" s="41"/>
      <c r="P75" s="40"/>
      <c r="Q75" s="40"/>
      <c r="R75" s="40"/>
      <c r="S75" s="40"/>
      <c r="T75" s="30"/>
    </row>
    <row r="76" spans="13:20" ht="15" customHeight="1" x14ac:dyDescent="0.25">
      <c r="M76" s="41"/>
      <c r="O76" s="41"/>
    </row>
    <row r="77" spans="13:20" ht="15" customHeight="1" x14ac:dyDescent="0.25">
      <c r="M77" s="41"/>
      <c r="O77" s="41"/>
    </row>
    <row r="78" spans="13:20" ht="15" customHeight="1" x14ac:dyDescent="0.25">
      <c r="M78" s="40"/>
      <c r="O78" s="40"/>
    </row>
    <row r="79" spans="13:20" ht="15" customHeight="1" x14ac:dyDescent="0.25">
      <c r="M79" s="40"/>
      <c r="O79" s="40"/>
    </row>
    <row r="80" spans="13:20" ht="15" customHeight="1" x14ac:dyDescent="0.25">
      <c r="M80" s="40"/>
      <c r="O80" s="40"/>
    </row>
    <row r="91" spans="1:1" ht="15.75" customHeight="1" x14ac:dyDescent="0.25">
      <c r="A91" s="42"/>
    </row>
    <row r="92" spans="1:1" ht="15.75" customHeight="1" x14ac:dyDescent="0.25">
      <c r="A92" s="42"/>
    </row>
    <row r="93" spans="1:1" ht="15.75" customHeight="1" x14ac:dyDescent="0.25">
      <c r="A93" s="42"/>
    </row>
    <row r="94" spans="1:1" ht="15.75" customHeight="1" x14ac:dyDescent="0.25">
      <c r="A94" s="42"/>
    </row>
    <row r="95" spans="1:1" ht="15.75" customHeight="1" x14ac:dyDescent="0.25">
      <c r="A95" s="42"/>
    </row>
    <row r="96" spans="1:1" ht="15.75" customHeight="1" x14ac:dyDescent="0.25">
      <c r="A96" s="42"/>
    </row>
    <row r="97" spans="1:1" ht="15.75" customHeight="1" x14ac:dyDescent="0.25">
      <c r="A97" s="42"/>
    </row>
    <row r="98" spans="1:1" ht="15.75" customHeight="1" x14ac:dyDescent="0.25">
      <c r="A98" s="42"/>
    </row>
    <row r="99" spans="1:1" ht="15.75" customHeight="1" x14ac:dyDescent="0.25">
      <c r="A99" s="42"/>
    </row>
    <row r="100" spans="1:1" ht="15.75" customHeight="1" x14ac:dyDescent="0.25">
      <c r="A100" s="42"/>
    </row>
  </sheetData>
  <mergeCells count="5">
    <mergeCell ref="A36:B36"/>
    <mergeCell ref="C36:D36"/>
    <mergeCell ref="B39:C39"/>
    <mergeCell ref="B40:C40"/>
    <mergeCell ref="M25:N25"/>
  </mergeCells>
  <conditionalFormatting sqref="A2:F2 H2:K13 E3:F13 B3:C18 A3:A26 D3:D26 G7:G8 E14:K26 B19 B20:C26">
    <cfRule type="expression" dxfId="147" priority="2">
      <formula>$T2&gt;5</formula>
    </cfRule>
  </conditionalFormatting>
  <conditionalFormatting sqref="A27:K32">
    <cfRule type="expression" dxfId="146" priority="1">
      <formula>$S27&gt;5</formula>
    </cfRule>
  </conditionalFormatting>
  <conditionalFormatting sqref="G3:G4">
    <cfRule type="expression" dxfId="145" priority="6">
      <formula>$T3&gt;5</formula>
    </cfRule>
  </conditionalFormatting>
  <conditionalFormatting sqref="G10:G11">
    <cfRule type="expression" dxfId="144" priority="4">
      <formula>$T10&gt;5</formula>
    </cfRule>
  </conditionalFormatting>
  <conditionalFormatting sqref="L2:L26">
    <cfRule type="expression" dxfId="143" priority="8">
      <formula>$U2&gt;5</formula>
    </cfRule>
  </conditionalFormatting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86</vt:i4>
      </vt:variant>
    </vt:vector>
  </HeadingPairs>
  <TitlesOfParts>
    <vt:vector size="86" baseType="lpstr">
      <vt:lpstr>20LedenV</vt:lpstr>
      <vt:lpstr>20ÚnorV</vt:lpstr>
      <vt:lpstr>03hod20</vt:lpstr>
      <vt:lpstr>20BřezenV</vt:lpstr>
      <vt:lpstr>04hod20</vt:lpstr>
      <vt:lpstr>20DubenV</vt:lpstr>
      <vt:lpstr>05hod20</vt:lpstr>
      <vt:lpstr>20KvětenV</vt:lpstr>
      <vt:lpstr>06hod20</vt:lpstr>
      <vt:lpstr>20ČervenV</vt:lpstr>
      <vt:lpstr>07hod20</vt:lpstr>
      <vt:lpstr>20ČervenecV</vt:lpstr>
      <vt:lpstr>20SrpenV</vt:lpstr>
      <vt:lpstr>20SrpenVv</vt:lpstr>
      <vt:lpstr>CompletVýdaje 28.06-29.08.2020</vt:lpstr>
      <vt:lpstr>12hod20</vt:lpstr>
      <vt:lpstr>01hod21</vt:lpstr>
      <vt:lpstr>01cash22</vt:lpstr>
      <vt:lpstr>02cash22</vt:lpstr>
      <vt:lpstr>11hod21</vt:lpstr>
      <vt:lpstr>12hod21</vt:lpstr>
      <vt:lpstr>01hod22</vt:lpstr>
      <vt:lpstr>02hod22</vt:lpstr>
      <vt:lpstr>03hod22</vt:lpstr>
      <vt:lpstr>04hod22</vt:lpstr>
      <vt:lpstr>03cash22</vt:lpstr>
      <vt:lpstr>05hod22</vt:lpstr>
      <vt:lpstr>06hod22</vt:lpstr>
      <vt:lpstr>07hod22</vt:lpstr>
      <vt:lpstr>08hod22</vt:lpstr>
      <vt:lpstr>09hod22</vt:lpstr>
      <vt:lpstr>10hod22</vt:lpstr>
      <vt:lpstr>11hod22</vt:lpstr>
      <vt:lpstr>07cash</vt:lpstr>
      <vt:lpstr>08cash04.12-21.12.22</vt:lpstr>
      <vt:lpstr>12hod22</vt:lpstr>
      <vt:lpstr>06cash22</vt:lpstr>
      <vt:lpstr>05cash22</vt:lpstr>
      <vt:lpstr>04cash22</vt:lpstr>
      <vt:lpstr>01hod23</vt:lpstr>
      <vt:lpstr>01cash24</vt:lpstr>
      <vt:lpstr>02hod23</vt:lpstr>
      <vt:lpstr>03hod24</vt:lpstr>
      <vt:lpstr>04cash24</vt:lpstr>
      <vt:lpstr>03cash24</vt:lpstr>
      <vt:lpstr>02cash24</vt:lpstr>
      <vt:lpstr>MMhodRR</vt:lpstr>
      <vt:lpstr>MMcashRR</vt:lpstr>
      <vt:lpstr>04hod24</vt:lpstr>
      <vt:lpstr>10hod24</vt:lpstr>
      <vt:lpstr>11hod24</vt:lpstr>
      <vt:lpstr>04hod23</vt:lpstr>
      <vt:lpstr>05hod23</vt:lpstr>
      <vt:lpstr>06hod23</vt:lpstr>
      <vt:lpstr>07hod23</vt:lpstr>
      <vt:lpstr>08hod23</vt:lpstr>
      <vt:lpstr>09hod23</vt:lpstr>
      <vt:lpstr>10hod23</vt:lpstr>
      <vt:lpstr>11hod23</vt:lpstr>
      <vt:lpstr>12hod23</vt:lpstr>
      <vt:lpstr>06cash</vt:lpstr>
      <vt:lpstr>05cash</vt:lpstr>
      <vt:lpstr>04cash</vt:lpstr>
      <vt:lpstr>03cash</vt:lpstr>
      <vt:lpstr>02cash</vt:lpstr>
      <vt:lpstr>01cash</vt:lpstr>
      <vt:lpstr>00cash</vt:lpstr>
      <vt:lpstr>01cash21</vt:lpstr>
      <vt:lpstr>02hod21</vt:lpstr>
      <vt:lpstr>03hod21</vt:lpstr>
      <vt:lpstr>04hod21</vt:lpstr>
      <vt:lpstr>05hod21</vt:lpstr>
      <vt:lpstr>06hod21</vt:lpstr>
      <vt:lpstr>07hod21</vt:lpstr>
      <vt:lpstr>08hod21</vt:lpstr>
      <vt:lpstr>09hod21</vt:lpstr>
      <vt:lpstr>10hod21</vt:lpstr>
      <vt:lpstr>Leden22</vt:lpstr>
      <vt:lpstr>07cash21</vt:lpstr>
      <vt:lpstr>06cash21</vt:lpstr>
      <vt:lpstr>05cash21</vt:lpstr>
      <vt:lpstr>04cash21</vt:lpstr>
      <vt:lpstr>03cash21</vt:lpstr>
      <vt:lpstr>02cash21</vt:lpstr>
      <vt:lpstr>2019</vt:lpstr>
      <vt:lpstr>2021</vt:lpstr>
    </vt:vector>
  </TitlesOfParts>
  <Company>MS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Android phone</dc:creator>
  <cp:lastModifiedBy>Cowley Čáp</cp:lastModifiedBy>
  <dcterms:created xsi:type="dcterms:W3CDTF">2019-02-26T05:21:50Z</dcterms:created>
  <dcterms:modified xsi:type="dcterms:W3CDTF">2024-12-10T20:12:45Z</dcterms:modified>
</cp:coreProperties>
</file>